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E:\"/>
    </mc:Choice>
  </mc:AlternateContent>
  <bookViews>
    <workbookView xWindow="0" yWindow="0" windowWidth="28800" windowHeight="1174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H152" i="37" s="1"/>
  <c r="D152" i="37"/>
  <c r="B153" i="37"/>
  <c r="C153" i="37"/>
  <c r="D153" i="37"/>
  <c r="B154" i="37"/>
  <c r="C154" i="37"/>
  <c r="D154" i="37"/>
  <c r="B155" i="37"/>
  <c r="C155" i="37"/>
  <c r="D155" i="37"/>
  <c r="B156" i="37"/>
  <c r="C156" i="37"/>
  <c r="D156" i="37"/>
  <c r="B157" i="37"/>
  <c r="B158" i="37"/>
  <c r="C158" i="37"/>
  <c r="D158" i="37"/>
  <c r="G158" i="37"/>
  <c r="B159" i="37"/>
  <c r="C159" i="37"/>
  <c r="H159" i="37" s="1"/>
  <c r="D159" i="37"/>
  <c r="G159" i="37"/>
  <c r="B160" i="37"/>
  <c r="C160" i="37"/>
  <c r="D160" i="37"/>
  <c r="G160" i="37"/>
  <c r="B161" i="37"/>
  <c r="B162" i="37"/>
  <c r="B163" i="37"/>
  <c r="C163" i="37"/>
  <c r="H163" i="37" s="1"/>
  <c r="D163" i="37"/>
  <c r="G163" i="37"/>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H179" i="37" s="1"/>
  <c r="D179" i="37"/>
  <c r="B180" i="37"/>
  <c r="C180" i="37"/>
  <c r="D180" i="37"/>
  <c r="B181" i="37"/>
  <c r="C181" i="37"/>
  <c r="H181" i="37" s="1"/>
  <c r="D181" i="37"/>
  <c r="B182" i="37"/>
  <c r="C182" i="37"/>
  <c r="D182" i="37"/>
  <c r="B183" i="37"/>
  <c r="C183" i="37"/>
  <c r="H183" i="37" s="1"/>
  <c r="D183" i="37"/>
  <c r="B184" i="37"/>
  <c r="C184" i="37"/>
  <c r="D184" i="37"/>
  <c r="H184" i="37" s="1"/>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H209" i="37" s="1"/>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G511" i="37" s="1"/>
  <c r="C511" i="37"/>
  <c r="D511" i="37"/>
  <c r="B512" i="37"/>
  <c r="G512" i="37" s="1"/>
  <c r="C512" i="37"/>
  <c r="D512" i="37"/>
  <c r="B513" i="37"/>
  <c r="B514" i="37"/>
  <c r="C514" i="37"/>
  <c r="D514" i="37"/>
  <c r="B515" i="37"/>
  <c r="C515" i="37"/>
  <c r="D515" i="37"/>
  <c r="G515" i="37" s="1"/>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G525" i="37" s="1"/>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G545" i="37" s="1"/>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C613" i="37"/>
  <c r="D613" i="37"/>
  <c r="G613" i="37"/>
  <c r="B614" i="37"/>
  <c r="C614" i="37"/>
  <c r="D614" i="37"/>
  <c r="G614" i="37" s="1"/>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s="1"/>
  <c r="B640" i="37"/>
  <c r="C640" i="37"/>
  <c r="D640" i="37"/>
  <c r="G640" i="37"/>
  <c r="B641" i="37"/>
  <c r="C641" i="37"/>
  <c r="D641" i="37"/>
  <c r="G641" i="37" s="1"/>
  <c r="B642" i="37"/>
  <c r="B643" i="37"/>
  <c r="G643" i="37" s="1"/>
  <c r="C643" i="37"/>
  <c r="D643" i="37"/>
  <c r="B644" i="37"/>
  <c r="C644" i="37"/>
  <c r="D644" i="37"/>
  <c r="B645" i="37"/>
  <c r="C645" i="37"/>
  <c r="D645" i="37"/>
  <c r="G645" i="37"/>
  <c r="B646" i="37"/>
  <c r="C646" i="37"/>
  <c r="H646" i="37" s="1"/>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s="1"/>
  <c r="B690" i="37"/>
  <c r="C690" i="37"/>
  <c r="D690" i="37"/>
  <c r="G690" i="37"/>
  <c r="B691" i="37"/>
  <c r="C691" i="37"/>
  <c r="D691" i="37"/>
  <c r="G691" i="37"/>
  <c r="B692" i="37"/>
  <c r="C692" i="37"/>
  <c r="H692" i="37" s="1"/>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H698" i="37" s="1"/>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B982" i="37"/>
  <c r="G982" i="37" s="1"/>
  <c r="C982" i="37"/>
  <c r="D982" i="37"/>
  <c r="B983" i="37"/>
  <c r="B984" i="37"/>
  <c r="B985" i="37"/>
  <c r="G985" i="37" s="1"/>
  <c r="C985" i="37"/>
  <c r="D985" i="37"/>
  <c r="B986" i="37"/>
  <c r="C986" i="37"/>
  <c r="D986" i="37"/>
  <c r="B987" i="37"/>
  <c r="G987" i="37" s="1"/>
  <c r="C987" i="37"/>
  <c r="D987" i="37"/>
  <c r="B988" i="37"/>
  <c r="G988" i="37" s="1"/>
  <c r="C988" i="37"/>
  <c r="D988" i="37"/>
  <c r="B989" i="37"/>
  <c r="C989" i="37"/>
  <c r="H989" i="37" s="1"/>
  <c r="D989" i="37"/>
  <c r="B990" i="37"/>
  <c r="B991" i="37"/>
  <c r="C991" i="37"/>
  <c r="D991" i="37"/>
  <c r="B992" i="37"/>
  <c r="C992" i="37"/>
  <c r="D992" i="37"/>
  <c r="B993" i="37"/>
  <c r="C993" i="37"/>
  <c r="D993" i="37"/>
  <c r="B994" i="37"/>
  <c r="C994" i="37"/>
  <c r="D994" i="37"/>
  <c r="G994" i="37" s="1"/>
  <c r="B995" i="37"/>
  <c r="C995" i="37"/>
  <c r="H995" i="37" s="1"/>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H1043" i="37" s="1"/>
  <c r="B1044" i="37"/>
  <c r="C1044" i="37"/>
  <c r="D1044" i="37"/>
  <c r="G1044" i="37" s="1"/>
  <c r="B1045" i="37"/>
  <c r="C1045" i="37"/>
  <c r="D1045" i="37"/>
  <c r="B1046" i="37"/>
  <c r="C1046" i="37"/>
  <c r="D1046" i="37"/>
  <c r="G1046" i="37" s="1"/>
  <c r="B1047" i="37"/>
  <c r="C1047" i="37"/>
  <c r="D1047" i="37"/>
  <c r="H1047" i="37" s="1"/>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C1126" i="37"/>
  <c r="D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G1137" i="37" s="1"/>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s="1"/>
  <c r="B1176" i="37"/>
  <c r="C1176" i="37"/>
  <c r="D1176" i="37"/>
  <c r="G1176" i="37"/>
  <c r="B1177" i="37"/>
  <c r="C1177" i="37"/>
  <c r="D1177" i="37"/>
  <c r="G1177" i="37"/>
  <c r="B1178" i="37"/>
  <c r="C1178" i="37"/>
  <c r="D1178" i="37"/>
  <c r="G1178" i="37"/>
  <c r="B1179" i="37"/>
  <c r="C1179" i="37"/>
  <c r="D1179" i="37"/>
  <c r="G1179" i="37" s="1"/>
  <c r="B1180" i="37"/>
  <c r="C1180" i="37"/>
  <c r="D1180" i="37"/>
  <c r="G1180" i="37" s="1"/>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c r="B1212" i="37"/>
  <c r="B1213" i="37"/>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H1251" i="37" s="1"/>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s="1"/>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s="1"/>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73" i="37"/>
  <c r="H1467" i="37"/>
  <c r="H1447" i="37"/>
  <c r="H1444" i="37"/>
  <c r="H1440" i="37"/>
  <c r="H1438" i="37"/>
  <c r="H1436" i="37"/>
  <c r="H1434" i="37"/>
  <c r="H1430" i="37"/>
  <c r="H1429" i="37"/>
  <c r="H1422" i="37"/>
  <c r="H1420" i="37"/>
  <c r="H1418"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4" i="37"/>
  <c r="H1042" i="37"/>
  <c r="H1038" i="37"/>
  <c r="H1037" i="37"/>
  <c r="H1036" i="37"/>
  <c r="H1035" i="37"/>
  <c r="H1033" i="37"/>
  <c r="H1032" i="37"/>
  <c r="H1031" i="37"/>
  <c r="H1030" i="37"/>
  <c r="H1029" i="37"/>
  <c r="H1028" i="37"/>
  <c r="H1026" i="37"/>
  <c r="H1024" i="37"/>
  <c r="H1022" i="37"/>
  <c r="H1021" i="37"/>
  <c r="H1020" i="37"/>
  <c r="H1019" i="37"/>
  <c r="H1018" i="37"/>
  <c r="H1017" i="37"/>
  <c r="H1015" i="37"/>
  <c r="H1014" i="37"/>
  <c r="H1013" i="37"/>
  <c r="H1011" i="37"/>
  <c r="H1010" i="37"/>
  <c r="H1009" i="37"/>
  <c r="H1008" i="37"/>
  <c r="H1005" i="37"/>
  <c r="H1004" i="37"/>
  <c r="H1003" i="37"/>
  <c r="H1002" i="37"/>
  <c r="H1001" i="37"/>
  <c r="H999" i="37"/>
  <c r="H998" i="37"/>
  <c r="H997" i="37"/>
  <c r="H994" i="37"/>
  <c r="H993" i="37"/>
  <c r="H991"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5" i="37"/>
  <c r="H694" i="37"/>
  <c r="H693" i="37"/>
  <c r="H691" i="37"/>
  <c r="H690"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90" i="37"/>
  <c r="H189" i="37"/>
  <c r="H188" i="37"/>
  <c r="H187" i="37"/>
  <c r="H185" i="37"/>
  <c r="H182" i="37"/>
  <c r="H180" i="37"/>
  <c r="H178" i="37"/>
  <c r="H176" i="37"/>
  <c r="H174" i="37"/>
  <c r="H173" i="37"/>
  <c r="H172" i="37"/>
  <c r="H171" i="37"/>
  <c r="H170" i="37"/>
  <c r="H169" i="37"/>
  <c r="H168" i="37"/>
  <c r="H166" i="37"/>
  <c r="H164" i="37"/>
  <c r="H160" i="37"/>
  <c r="H158" i="37"/>
  <c r="H156"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3" i="3"/>
  <c r="G6" i="3"/>
  <c r="I14" i="3"/>
  <c r="P3" i="3"/>
  <c r="H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G25" i="3"/>
  <c r="E25" i="3"/>
  <c r="B25" i="3" s="1"/>
  <c r="G26" i="3"/>
  <c r="E26" i="3"/>
  <c r="G27" i="3"/>
  <c r="H27" i="3"/>
  <c r="G28" i="3"/>
  <c r="H28" i="3"/>
  <c r="E28" i="3" s="1"/>
  <c r="B28" i="3" s="1"/>
  <c r="G29" i="3"/>
  <c r="H29" i="3"/>
  <c r="E29" i="3"/>
  <c r="G31" i="3"/>
  <c r="H31" i="3"/>
  <c r="G32" i="3"/>
  <c r="H32" i="3"/>
  <c r="G33" i="3"/>
  <c r="H33" i="3"/>
  <c r="G34" i="3"/>
  <c r="H34" i="3"/>
  <c r="E34" i="3"/>
  <c r="G35" i="3"/>
  <c r="H35" i="3"/>
  <c r="G36" i="3"/>
  <c r="H36" i="3"/>
  <c r="G37" i="3"/>
  <c r="H37" i="3"/>
  <c r="E37" i="3" s="1"/>
  <c r="B37" i="3" s="1"/>
  <c r="G38" i="3"/>
  <c r="H38" i="3"/>
  <c r="E38" i="3"/>
  <c r="G39" i="3"/>
  <c r="H39" i="3"/>
  <c r="G40" i="3"/>
  <c r="H40" i="3"/>
  <c r="G41" i="3"/>
  <c r="H41" i="3"/>
  <c r="E41" i="3" s="1"/>
  <c r="B41" i="3" s="1"/>
  <c r="G42" i="3"/>
  <c r="H42" i="3"/>
  <c r="E42" i="3"/>
  <c r="G43" i="3"/>
  <c r="H43" i="3"/>
  <c r="G44" i="3"/>
  <c r="H44" i="3"/>
  <c r="G45" i="3"/>
  <c r="H45" i="3"/>
  <c r="E45" i="3" s="1"/>
  <c r="B45" i="3" s="1"/>
  <c r="G46" i="3"/>
  <c r="H46" i="3"/>
  <c r="E46" i="3"/>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164" i="3"/>
  <c r="E164" i="3" s="1"/>
  <c r="G212" i="3"/>
  <c r="H212" i="3"/>
  <c r="G260"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F213" i="3" s="1"/>
  <c r="B213" i="3" s="1"/>
  <c r="M213" i="3"/>
  <c r="F212" i="3"/>
  <c r="F211" i="3"/>
  <c r="B211" i="3" s="1"/>
  <c r="L210" i="3"/>
  <c r="M210" i="3"/>
  <c r="F210" i="3"/>
  <c r="B210" i="3" s="1"/>
  <c r="L209" i="3"/>
  <c r="F209" i="3" s="1"/>
  <c r="B209" i="3" s="1"/>
  <c r="L208" i="3"/>
  <c r="F208" i="3" s="1"/>
  <c r="B208" i="3" s="1"/>
  <c r="L207" i="3"/>
  <c r="M207" i="3"/>
  <c r="L206" i="3"/>
  <c r="M206" i="3"/>
  <c r="L205" i="3"/>
  <c r="M205" i="3"/>
  <c r="F205" i="3" s="1"/>
  <c r="B205" i="3" s="1"/>
  <c r="L204" i="3"/>
  <c r="M204" i="3"/>
  <c r="L203" i="3"/>
  <c r="M203" i="3"/>
  <c r="L202" i="3"/>
  <c r="F202" i="3" s="1"/>
  <c r="B202" i="3" s="1"/>
  <c r="M202" i="3"/>
  <c r="L201" i="3"/>
  <c r="M201" i="3"/>
  <c r="F201" i="3"/>
  <c r="B201" i="3" s="1"/>
  <c r="L200" i="3"/>
  <c r="M200" i="3"/>
  <c r="F200" i="3" s="1"/>
  <c r="B200" i="3" s="1"/>
  <c r="L199" i="3"/>
  <c r="F199" i="3" s="1"/>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6" i="3"/>
  <c r="B42" i="3"/>
  <c r="B38" i="3"/>
  <c r="B34" i="3"/>
  <c r="B30" i="3"/>
  <c r="B29" i="3"/>
  <c r="B26" i="3"/>
  <c r="L7" i="3"/>
  <c r="F7" i="3"/>
  <c r="F4" i="3" s="1"/>
  <c r="F261" i="3"/>
  <c r="F297" i="3"/>
  <c r="F292" i="3"/>
  <c r="F288" i="3"/>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F76" i="27"/>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34" i="1"/>
  <c r="C124" i="37" s="1"/>
  <c r="D142" i="1"/>
  <c r="D141" i="1" s="1"/>
  <c r="D148" i="1"/>
  <c r="C138" i="37" s="1"/>
  <c r="D147" i="1"/>
  <c r="C137" i="37" s="1"/>
  <c r="D303" i="1"/>
  <c r="C292" i="37" s="1"/>
  <c r="D307" i="1"/>
  <c r="C296" i="37" s="1"/>
  <c r="D302" i="1"/>
  <c r="C291"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4"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91" i="37" l="1"/>
  <c r="F122" i="36"/>
  <c r="E235" i="27"/>
  <c r="D1200" i="37" s="1"/>
  <c r="G1203" i="37"/>
  <c r="G1142" i="37"/>
  <c r="F247" i="27"/>
  <c r="E263" i="3"/>
  <c r="B263" i="3" s="1"/>
  <c r="G1213" i="37"/>
  <c r="E285" i="3"/>
  <c r="B285" i="3" s="1"/>
  <c r="H1025" i="37"/>
  <c r="G1007" i="37"/>
  <c r="G986" i="37"/>
  <c r="H981" i="37"/>
  <c r="F236" i="27"/>
  <c r="G1056" i="37"/>
  <c r="F58" i="27"/>
  <c r="D18" i="27"/>
  <c r="C983" i="37" s="1"/>
  <c r="G989" i="37"/>
  <c r="G981" i="37"/>
  <c r="H689" i="37"/>
  <c r="H665" i="37"/>
  <c r="G644" i="37"/>
  <c r="H177" i="37"/>
  <c r="F207" i="3"/>
  <c r="B207" i="3" s="1"/>
  <c r="F206" i="3"/>
  <c r="B206" i="3" s="1"/>
  <c r="H165" i="37"/>
  <c r="F203" i="3"/>
  <c r="B203" i="3" s="1"/>
  <c r="H117" i="37"/>
  <c r="F218" i="1"/>
  <c r="D204" i="1"/>
  <c r="C194" i="37" s="1"/>
  <c r="F185" i="1"/>
  <c r="F167" i="1"/>
  <c r="D160" i="1"/>
  <c r="F204" i="3"/>
  <c r="B204" i="3" s="1"/>
  <c r="E33" i="3"/>
  <c r="B33" i="3" s="1"/>
  <c r="K20" i="37"/>
  <c r="E260" i="3"/>
  <c r="G166" i="3"/>
  <c r="E166" i="3" s="1"/>
  <c r="B166" i="3" s="1"/>
  <c r="T158" i="3"/>
  <c r="E50" i="1"/>
  <c r="D40" i="37" s="1"/>
  <c r="E354" i="1"/>
  <c r="D343" i="37" s="1"/>
  <c r="H328" i="37"/>
  <c r="H304" i="37"/>
  <c r="H76" i="37"/>
  <c r="H19" i="37"/>
  <c r="G223" i="37"/>
  <c r="D139" i="27"/>
  <c r="C1104" i="37" s="1"/>
  <c r="F140" i="27"/>
  <c r="F154" i="27"/>
  <c r="H1389" i="37"/>
  <c r="G1389" i="37"/>
  <c r="H1295" i="37"/>
  <c r="H1497" i="37"/>
  <c r="G1497" i="37"/>
  <c r="H1557" i="37"/>
  <c r="G1557" i="37"/>
  <c r="F421" i="1"/>
  <c r="D647" i="1"/>
  <c r="C635" i="37" s="1"/>
  <c r="D347" i="1"/>
  <c r="C336" i="37" s="1"/>
  <c r="H64" i="37"/>
  <c r="H50" i="37"/>
  <c r="H41" i="37"/>
  <c r="G179" i="3"/>
  <c r="E179" i="3" s="1"/>
  <c r="B179" i="3" s="1"/>
  <c r="D518" i="1"/>
  <c r="C506" i="37" s="1"/>
  <c r="G481" i="37"/>
  <c r="D462" i="1"/>
  <c r="D223" i="1"/>
  <c r="H195" i="37"/>
  <c r="H162" i="37"/>
  <c r="D628" i="1"/>
  <c r="G541" i="37"/>
  <c r="F51" i="27"/>
  <c r="E92" i="27"/>
  <c r="D1058" i="37"/>
  <c r="E175" i="27"/>
  <c r="H284" i="3" s="1"/>
  <c r="F195" i="27"/>
  <c r="F239" i="27"/>
  <c r="D13" i="33"/>
  <c r="C1425" i="37" s="1"/>
  <c r="D136" i="36"/>
  <c r="C1411" i="37" s="1"/>
  <c r="E96" i="36"/>
  <c r="D1371" i="37" s="1"/>
  <c r="D96" i="36"/>
  <c r="E42" i="36"/>
  <c r="D1317" i="37" s="1"/>
  <c r="D42" i="36"/>
  <c r="E12" i="36"/>
  <c r="D12" i="36"/>
  <c r="C1287" i="37" s="1"/>
  <c r="D30" i="30"/>
  <c r="C1486" i="37" s="1"/>
  <c r="I1439" i="37"/>
  <c r="I1437" i="37"/>
  <c r="I1435" i="37"/>
  <c r="G5" i="3"/>
  <c r="E5" i="3" s="1"/>
  <c r="B5" i="3" s="1"/>
  <c r="I1431" i="37"/>
  <c r="I1429" i="37"/>
  <c r="I1427" i="37"/>
  <c r="G1362" i="37"/>
  <c r="G1360" i="37"/>
  <c r="G1358" i="37"/>
  <c r="G1334" i="37"/>
  <c r="G1330" i="37"/>
  <c r="G1328" i="37"/>
  <c r="G1326" i="37"/>
  <c r="G1320" i="37"/>
  <c r="G1315" i="37"/>
  <c r="G1313" i="37"/>
  <c r="G1311" i="37"/>
  <c r="G1294" i="37"/>
  <c r="G1290"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66" i="37"/>
  <c r="G1164" i="37"/>
  <c r="G1162" i="37"/>
  <c r="G1133" i="37"/>
  <c r="G1131" i="37"/>
  <c r="G1129" i="37"/>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E47" i="3"/>
  <c r="B47" i="3" s="1"/>
  <c r="E43" i="3"/>
  <c r="B43" i="3" s="1"/>
  <c r="E39" i="3"/>
  <c r="B39" i="3" s="1"/>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6" i="37"/>
  <c r="G1314" i="37"/>
  <c r="G1312" i="37"/>
  <c r="G1302" i="37"/>
  <c r="G1300" i="37"/>
  <c r="G1298" i="37"/>
  <c r="G1291" i="37"/>
  <c r="G1289" i="37"/>
  <c r="G1286" i="37"/>
  <c r="G1284" i="37"/>
  <c r="G1282" i="37"/>
  <c r="G1280" i="37"/>
  <c r="G1278" i="37"/>
  <c r="G1276" i="37"/>
  <c r="G1274" i="37"/>
  <c r="G1272" i="37"/>
  <c r="G1270" i="37"/>
  <c r="G1268" i="37"/>
  <c r="G1266" i="37"/>
  <c r="G1195" i="37"/>
  <c r="G1193" i="37"/>
  <c r="G1191" i="37"/>
  <c r="G1189" i="37"/>
  <c r="G1187" i="37"/>
  <c r="G1159" i="37"/>
  <c r="G1157" i="37"/>
  <c r="G1155" i="37"/>
  <c r="G1141" i="37"/>
  <c r="G1126" i="37"/>
  <c r="G593" i="37"/>
  <c r="G591" i="37"/>
  <c r="G579" i="37"/>
  <c r="G574" i="37"/>
  <c r="G570" i="37"/>
  <c r="G564" i="37"/>
  <c r="G1110" i="37"/>
  <c r="G1108" i="37"/>
  <c r="G1106" i="37"/>
  <c r="G1072" i="37"/>
  <c r="G1068" i="37"/>
  <c r="G1064" i="37"/>
  <c r="G1060" i="37"/>
  <c r="G1055" i="37"/>
  <c r="G1053" i="37"/>
  <c r="G1051" i="37"/>
  <c r="G1047" i="37"/>
  <c r="G1045" i="37"/>
  <c r="G1043" i="37"/>
  <c r="G1022" i="37"/>
  <c r="G1020" i="37"/>
  <c r="G1018" i="37"/>
  <c r="G999" i="37"/>
  <c r="G997" i="37"/>
  <c r="G995" i="37"/>
  <c r="G993" i="37"/>
  <c r="G991" i="37"/>
  <c r="G592" i="37"/>
  <c r="G580" i="37"/>
  <c r="G575" i="37"/>
  <c r="G573" i="37"/>
  <c r="G569" i="37"/>
  <c r="G563"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124" i="37"/>
  <c r="G33" i="37"/>
  <c r="G4" i="37"/>
  <c r="G132" i="37"/>
  <c r="G112" i="37"/>
  <c r="G70" i="37"/>
  <c r="G64" i="37"/>
  <c r="G58" i="37"/>
  <c r="G50" i="37"/>
  <c r="G19" i="37"/>
  <c r="F84" i="27" l="1"/>
  <c r="F18" i="27"/>
  <c r="F204" i="1"/>
  <c r="F160" i="1"/>
  <c r="F116" i="1"/>
  <c r="G24" i="3"/>
  <c r="E24" i="3" s="1"/>
  <c r="B24" i="3" s="1"/>
  <c r="C150" i="37"/>
  <c r="G1049" i="37"/>
  <c r="H635" i="37"/>
  <c r="C1317" i="37"/>
  <c r="F42" i="36"/>
  <c r="C1371" i="37"/>
  <c r="F96" i="36"/>
  <c r="C213" i="37"/>
  <c r="H213" i="37" s="1"/>
  <c r="F223" i="1"/>
  <c r="I1450" i="37"/>
  <c r="I1454" i="37"/>
  <c r="I1460" i="37"/>
  <c r="E163" i="3"/>
  <c r="B163" i="3" s="1"/>
  <c r="H1104" i="37"/>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G150" i="37" l="1"/>
  <c r="H1287" i="37"/>
  <c r="G1287" i="37"/>
  <c r="G295" i="3"/>
  <c r="E295" i="3" s="1"/>
  <c r="B295" i="3" s="1"/>
  <c r="G1116" i="37"/>
  <c r="H1371" i="37"/>
  <c r="G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<sst xmlns="http://schemas.openxmlformats.org/spreadsheetml/2006/main" count="4758" uniqueCount="4301">
  <si>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</si>
  <si>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</si>
  <si>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</si>
  <si>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</si>
  <si>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</si>
  <si>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</si>
  <si>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</si>
  <si>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</si>
  <si>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</si>
  <si>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</si>
  <si>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</si>
  <si>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</si>
  <si>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</si>
  <si>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</si>
  <si>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</si>
  <si>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</si>
  <si>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</si>
  <si>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</si>
  <si>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</si>
  <si>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</si>
  <si>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</si>
  <si>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</si>
  <si>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</si>
  <si>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</si>
  <si>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</si>
  <si>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</si>
  <si>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</si>
  <si>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</si>
  <si>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</si>
  <si>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</si>
  <si>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</si>
  <si>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</si>
  <si>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</si>
  <si>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</si>
  <si>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</si>
  <si>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</si>
  <si>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</si>
  <si>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</si>
  <si>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</si>
  <si>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</si>
  <si>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</si>
  <si>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</si>
  <si>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</si>
  <si>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</si>
  <si>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</si>
  <si>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</si>
  <si>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</si>
  <si>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</si>
  <si>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</si>
  <si>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</si>
  <si>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</si>
  <si>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</si>
  <si>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</si>
  <si>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</si>
  <si>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</si>
  <si>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</si>
  <si>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</si>
  <si>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</si>
  <si>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</si>
  <si>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</si>
  <si>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</si>
  <si>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</si>
  <si>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</si>
  <si>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</si>
  <si>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</si>
  <si>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</si>
  <si>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</si>
  <si>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</si>
  <si>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</si>
  <si>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</si>
  <si>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</si>
  <si>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</si>
  <si>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</si>
  <si>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</si>
  <si>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</si>
  <si>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</si>
  <si>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</si>
  <si>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</si>
  <si>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</si>
  <si>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</si>
  <si>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</si>
  <si>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</si>
  <si>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</si>
  <si>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</si>
  <si>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</si>
  <si>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</si>
  <si>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</si>
  <si>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</si>
  <si>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</si>
  <si>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</si>
  <si>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</si>
  <si>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</si>
  <si>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</si>
  <si>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</si>
  <si>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</si>
  <si>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</si>
  <si>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</si>
  <si>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</si>
  <si>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</si>
  <si>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</si>
  <si>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</si>
  <si>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</si>
  <si>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</si>
  <si>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</si>
  <si>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</si>
  <si>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</si>
  <si>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</si>
  <si>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</si>
  <si>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</si>
  <si>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</si>
  <si>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</si>
  <si>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</si>
  <si>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</si>
  <si>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</si>
  <si>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</si>
  <si>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</si>
  <si>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</si>
  <si>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</si>
  <si>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</si>
  <si>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</si>
  <si>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</si>
  <si>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</si>
  <si>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</si>
  <si>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</si>
  <si>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</si>
  <si>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</si>
  <si>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</si>
  <si>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</si>
  <si>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</si>
  <si>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</si>
  <si>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</si>
  <si>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</si>
  <si>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</si>
  <si>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</si>
  <si>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</si>
  <si>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</si>
  <si>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</si>
  <si>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</si>
  <si>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</si>
  <si>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</si>
  <si>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</si>
  <si>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</si>
  <si>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</si>
  <si>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</si>
  <si>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</si>
  <si>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</si>
  <si>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</si>
  <si>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</si>
  <si>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</si>
  <si>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</si>
  <si>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</si>
  <si>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</si>
  <si>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</si>
  <si>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</si>
  <si>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</si>
  <si>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</si>
  <si>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</si>
  <si>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</si>
  <si>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</si>
  <si>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</si>
  <si>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</si>
  <si>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</si>
  <si>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</si>
  <si>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</si>
  <si>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</si>
  <si>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</si>
  <si>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</si>
  <si>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</si>
  <si>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</si>
  <si>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</si>
  <si>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</si>
  <si>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</si>
  <si>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</si>
  <si>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</si>
  <si>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</si>
  <si>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</si>
  <si>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</si>
  <si>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</si>
  <si>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</si>
  <si>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</si>
  <si>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</si>
  <si>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</si>
  <si>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</si>
  <si>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</si>
  <si>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</si>
  <si>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</si>
  <si>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</si>
  <si>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</si>
  <si>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</si>
  <si>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</si>
  <si>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</si>
  <si>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</si>
  <si>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</si>
  <si>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</si>
  <si>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</si>
  <si>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</si>
  <si>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</si>
  <si>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</si>
  <si>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</si>
  <si>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</si>
  <si>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</si>
  <si>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</si>
  <si>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</si>
  <si>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</si>
  <si>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</si>
  <si>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</si>
  <si>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</si>
  <si>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</si>
  <si>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</si>
  <si>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</si>
  <si>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</si>
  <si>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</si>
  <si>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</si>
  <si>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</si>
  <si>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</si>
  <si>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</si>
  <si>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</si>
  <si>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</si>
  <si>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</si>
  <si>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</si>
  <si>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</si>
  <si>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</si>
  <si>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</si>
  <si>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</si>
  <si>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</si>
  <si>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</si>
  <si>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</si>
  <si>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</si>
  <si>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</si>
  <si>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</si>
  <si>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</si>
  <si>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</si>
  <si>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</si>
  <si>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</si>
  <si>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</si>
  <si>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</si>
  <si>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</si>
  <si>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</si>
  <si>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</si>
  <si>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</si>
  <si>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</si>
  <si>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</si>
  <si>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</si>
  <si>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</si>
  <si>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</si>
  <si>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</si>
  <si>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</si>
  <si>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</si>
  <si>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</si>
  <si>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</si>
  <si>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</si>
  <si>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</si>
  <si>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</si>
  <si>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</si>
  <si>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</si>
  <si>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</si>
  <si>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</si>
  <si>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</si>
  <si>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</si>
  <si>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</si>
  <si>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</si>
  <si>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</si>
  <si>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</si>
  <si>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</si>
  <si>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</si>
  <si>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</si>
  <si>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</si>
  <si>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</si>
  <si>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</si>
  <si>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</si>
  <si>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</si>
  <si>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</si>
  <si>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</si>
  <si>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</si>
  <si>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</si>
  <si>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</si>
  <si>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</si>
  <si>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</si>
  <si>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</si>
  <si>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</si>
  <si>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</si>
  <si>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</si>
  <si>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</si>
  <si>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</si>
  <si>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</si>
  <si>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</si>
  <si>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</si>
  <si>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</si>
  <si>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</si>
  <si>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</si>
  <si>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</si>
  <si>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</si>
  <si>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</si>
  <si>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</si>
  <si>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</si>
  <si>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</si>
  <si>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</si>
  <si>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</si>
  <si>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</si>
  <si>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</si>
  <si>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</si>
  <si>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</si>
  <si>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</si>
  <si>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</si>
  <si>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</si>
  <si>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</si>
  <si>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</si>
  <si>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</si>
  <si>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</si>
  <si>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</si>
  <si>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</si>
  <si>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</si>
  <si>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</si>
  <si>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</si>
  <si>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</si>
  <si>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</si>
  <si>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</si>
  <si>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</si>
  <si>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</si>
  <si>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</si>
  <si>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</si>
  <si>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</si>
  <si>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</si>
  <si>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</si>
  <si>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</si>
  <si>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</si>
  <si>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</si>
  <si>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</si>
  <si>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</si>
  <si>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</si>
  <si>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</si>
  <si>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</si>
  <si>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</si>
  <si>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</si>
  <si>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</si>
  <si>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</si>
  <si>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</si>
  <si>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</si>
  <si>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</si>
  <si>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</si>
  <si>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</si>
  <si>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</si>
  <si>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</si>
  <si>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</si>
  <si>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</si>
  <si>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</si>
  <si>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</si>
  <si>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</si>
  <si>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</si>
  <si>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</si>
  <si>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</si>
  <si>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</si>
  <si>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</si>
  <si>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</si>
  <si>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</si>
  <si>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</si>
  <si>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</si>
  <si>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</si>
  <si>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</si>
  <si>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</si>
  <si>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</si>
  <si>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</si>
  <si>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</si>
  <si>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</si>
  <si>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</si>
  <si>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</si>
  <si>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</si>
  <si>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</si>
  <si>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</si>
  <si>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</si>
  <si>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</si>
  <si>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</si>
  <si>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</si>
  <si>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</si>
  <si>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</si>
  <si>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</si>
  <si>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</si>
  <si>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</si>
  <si>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</si>
  <si>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</si>
  <si>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</si>
  <si>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</si>
  <si>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</si>
  <si>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</si>
  <si>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</si>
  <si>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</si>
  <si>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</si>
  <si>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</si>
  <si>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</si>
  <si>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</si>
  <si>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</si>
  <si>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</si>
  <si>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</si>
  <si>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</si>
  <si>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</si>
  <si>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</si>
  <si>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</si>
  <si>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</si>
  <si>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</si>
  <si>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</si>
  <si>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</si>
  <si>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</si>
  <si>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</si>
  <si>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</si>
  <si>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</si>
  <si>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</si>
  <si>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</si>
  <si>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</si>
  <si>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</si>
  <si>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</si>
  <si>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</si>
  <si>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</si>
  <si>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</si>
  <si>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</si>
  <si>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</si>
  <si>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</si>
  <si>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</si>
  <si>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</si>
  <si>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</si>
  <si>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</si>
  <si>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</si>
  <si>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</si>
  <si>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</si>
  <si>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</si>
  <si>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</si>
  <si>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</si>
  <si>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</si>
  <si>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</si>
  <si>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</si>
  <si>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</si>
  <si>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</si>
  <si>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</si>
  <si>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</si>
  <si>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</si>
  <si>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</si>
  <si>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</si>
  <si>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</si>
  <si>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</si>
  <si>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</si>
  <si>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</si>
  <si>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</si>
  <si>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</si>
  <si>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</si>
  <si>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</si>
  <si>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</si>
  <si>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</si>
  <si>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</si>
  <si>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</si>
  <si>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</si>
  <si>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</si>
  <si>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</si>
  <si>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</si>
  <si>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</si>
  <si>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</si>
  <si>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</si>
  <si>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</si>
  <si>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</si>
  <si>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</si>
  <si>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</si>
  <si>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</si>
  <si>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</si>
  <si>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</si>
  <si>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</si>
  <si>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</si>
  <si>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</si>
  <si>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</si>
  <si>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</si>
  <si>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</si>
  <si>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</si>
  <si>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</si>
  <si>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</si>
  <si>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</si>
  <si>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</si>
  <si>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</si>
  <si>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</si>
  <si>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</si>
  <si>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</si>
  <si>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</si>
  <si>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</si>
  <si>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</si>
  <si>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</si>
  <si>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</si>
  <si>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</si>
  <si>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</si>
  <si>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</si>
  <si>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</si>
  <si>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</si>
  <si>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</si>
  <si>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</si>
  <si>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</si>
  <si>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</si>
  <si>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</si>
  <si>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</si>
  <si>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</si>
  <si>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</si>
  <si>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</si>
  <si>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</si>
  <si>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</si>
  <si>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</si>
  <si>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</si>
  <si>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</si>
  <si>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</si>
  <si>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</si>
  <si>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</si>
  <si>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</si>
  <si>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</si>
  <si>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</si>
  <si>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</si>
  <si>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</si>
  <si>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</si>
  <si>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</si>
  <si>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</si>
  <si>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</si>
  <si>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</si>
  <si>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</si>
  <si>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</si>
  <si>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</si>
  <si>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</si>
  <si>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</si>
  <si>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</si>
  <si>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</si>
  <si>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</si>
  <si>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</si>
  <si>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</si>
  <si>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</si>
  <si>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</si>
  <si>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</si>
  <si>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</si>
  <si>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</si>
  <si>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</si>
  <si>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</si>
  <si>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</si>
  <si>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</si>
  <si>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</si>
  <si>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</si>
  <si>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</si>
  <si>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</si>
  <si>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</si>
  <si>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</si>
  <si>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</si>
  <si>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</si>
  <si>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</si>
  <si>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</si>
  <si>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</si>
  <si>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</si>
  <si>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</si>
  <si>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</si>
  <si>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</si>
  <si>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</si>
  <si>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</si>
  <si>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</si>
  <si>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</si>
  <si>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</si>
  <si>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</si>
  <si>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</si>
  <si>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</si>
  <si>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</si>
  <si>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</si>
  <si>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</si>
  <si>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</si>
  <si>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</si>
  <si>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</si>
  <si>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</si>
  <si>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</si>
  <si>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</si>
  <si>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</si>
  <si>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</si>
  <si>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</si>
  <si>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</si>
  <si>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</si>
  <si>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</si>
  <si>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</si>
  <si>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</si>
  <si>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</si>
  <si>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</si>
  <si>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</si>
  <si>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</si>
  <si>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</si>
  <si>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</si>
  <si>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</si>
  <si>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</si>
  <si>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</si>
  <si>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</si>
  <si>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</si>
  <si>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</si>
  <si>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</si>
  <si>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</si>
  <si>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</si>
  <si>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</si>
  <si>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</si>
  <si>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</si>
  <si>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</si>
  <si>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</si>
  <si>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</si>
  <si>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</si>
  <si>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</si>
  <si>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</si>
  <si>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</si>
  <si>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</si>
  <si>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</si>
  <si>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</si>
  <si>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</si>
  <si>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</si>
  <si>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</si>
  <si>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</si>
  <si>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</si>
  <si>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</si>
  <si>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</si>
  <si>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</si>
  <si>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</si>
  <si>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</si>
  <si>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</si>
  <si>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</si>
  <si>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</si>
  <si>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</si>
  <si>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</si>
  <si>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</si>
  <si>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</si>
  <si>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</si>
  <si>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</si>
  <si>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</si>
  <si>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</si>
  <si>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</si>
  <si>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</si>
  <si>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</si>
  <si>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</si>
  <si>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</si>
  <si>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</si>
  <si>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</si>
  <si>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</si>
  <si>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</si>
  <si>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</si>
  <si>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</si>
  <si>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</si>
  <si>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</si>
  <si>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</si>
  <si>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</si>
  <si>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</si>
  <si>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</si>
  <si>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</si>
  <si>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</si>
  <si>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</si>
  <si>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</si>
  <si>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</si>
  <si>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</si>
  <si>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</si>
  <si>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</si>
  <si>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</si>
  <si>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</si>
  <si>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</si>
  <si>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</si>
  <si>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</si>
  <si>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</si>
  <si>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</si>
  <si>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</si>
  <si>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</si>
  <si>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</si>
  <si>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</si>
  <si>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</si>
  <si>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</si>
  <si>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</si>
  <si>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</si>
  <si>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</si>
  <si>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</si>
  <si>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</si>
  <si>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</si>
  <si>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</si>
  <si>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</si>
  <si>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</si>
  <si>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</si>
  <si>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</si>
  <si>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</si>
  <si>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</si>
  <si>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</si>
  <si>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</si>
  <si>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</si>
  <si>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</si>
  <si>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</si>
  <si>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</si>
  <si>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</si>
  <si>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</si>
  <si>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</si>
  <si>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</si>
  <si>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</si>
  <si>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</si>
  <si>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</si>
  <si>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</si>
  <si>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</si>
  <si>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</si>
  <si>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</si>
  <si>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</si>
  <si>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</si>
  <si>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</si>
  <si>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</si>
  <si>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</si>
  <si>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</si>
  <si>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</si>
  <si>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</si>
  <si>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</si>
  <si>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</si>
  <si>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</si>
  <si>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</si>
  <si>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</si>
  <si>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</si>
  <si>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</si>
  <si>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</si>
  <si>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</si>
  <si>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</si>
  <si>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</si>
  <si>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</si>
  <si>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</si>
  <si>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</si>
  <si>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</si>
  <si>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</si>
  <si>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</si>
  <si>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</si>
  <si>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</si>
  <si>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</si>
  <si>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</si>
  <si>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</si>
  <si>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</si>
  <si>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</si>
  <si>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</si>
  <si>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</si>
  <si>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</si>
  <si>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</si>
  <si>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</si>
  <si>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</si>
  <si>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</si>
  <si>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</si>
  <si>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</si>
  <si>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</si>
  <si>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</si>
  <si>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</si>
  <si>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</si>
  <si>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</si>
  <si>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</si>
  <si>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</si>
  <si>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</si>
  <si>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</si>
  <si>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</si>
  <si>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</si>
  <si>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</si>
  <si>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</si>
  <si>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</si>
  <si>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</si>
  <si>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</si>
  <si>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</si>
  <si>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</si>
  <si>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</si>
  <si>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</si>
  <si>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</si>
  <si>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</si>
  <si>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</si>
  <si>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</si>
  <si>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</si>
  <si>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</si>
  <si>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</si>
  <si>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</si>
  <si>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</si>
  <si>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</si>
  <si>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</si>
  <si>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</si>
  <si>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</si>
  <si>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</si>
  <si>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</si>
  <si>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</si>
  <si>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</si>
  <si>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</si>
  <si>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</si>
  <si>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</si>
  <si>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</si>
  <si>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</si>
  <si>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</si>
  <si>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</si>
  <si>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</si>
  <si>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</si>
  <si>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</si>
  <si>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</si>
  <si>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</si>
  <si>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</si>
  <si>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</si>
  <si>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</si>
  <si>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</si>
  <si>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</si>
  <si>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</si>
  <si>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</si>
  <si>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</si>
  <si>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</si>
  <si>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</si>
  <si>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</si>
  <si>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</si>
  <si>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</si>
  <si>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</si>
  <si>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</si>
  <si>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</si>
  <si>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</si>
  <si>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</si>
  <si>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</si>
  <si>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</si>
  <si>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</si>
  <si>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</si>
  <si>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</si>
  <si>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</si>
  <si>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</si>
  <si>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</si>
  <si>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</si>
  <si>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</si>
  <si>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</si>
  <si>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</si>
  <si>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</si>
  <si>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</si>
  <si>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</si>
  <si>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</si>
  <si>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</si>
  <si>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</si>
  <si>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</si>
  <si>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</si>
  <si>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</si>
  <si>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</si>
  <si>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</si>
  <si>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</si>
  <si>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</si>
  <si>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</si>
  <si>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</si>
  <si>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</si>
  <si>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</si>
  <si>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</si>
  <si>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</si>
  <si>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</si>
  <si>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</si>
  <si>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</si>
  <si>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</si>
  <si>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</si>
  <si>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</si>
  <si>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</si>
  <si>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</si>
  <si>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</si>
  <si>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</si>
  <si>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</si>
  <si>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</si>
  <si>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</si>
  <si>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</si>
  <si>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</si>
  <si>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</si>
  <si>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</si>
  <si>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</si>
  <si>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</si>
  <si>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</si>
  <si>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</si>
  <si>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</si>
  <si>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</si>
  <si>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</si>
  <si>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</si>
  <si>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</si>
  <si>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</si>
  <si>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</si>
  <si>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</si>
  <si>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</si>
  <si>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</si>
  <si>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</si>
  <si>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</si>
  <si>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</si>
  <si>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</si>
  <si>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</si>
  <si>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</si>
  <si>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</si>
  <si>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</si>
  <si>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</si>
  <si>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</si>
  <si>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</si>
  <si>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</si>
  <si>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</si>
  <si>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</si>
  <si>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</si>
  <si>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</si>
  <si>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</si>
  <si>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</si>
  <si>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</si>
  <si>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</si>
  <si>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</si>
  <si>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</si>
  <si>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</si>
  <si>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</si>
  <si>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</si>
  <si>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</si>
  <si>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</si>
  <si>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</si>
  <si>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</si>
  <si>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</si>
  <si>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</si>
  <si>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</si>
  <si>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</si>
  <si>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</si>
  <si>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</si>
  <si>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</si>
  <si>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</si>
  <si>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</si>
  <si>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</si>
  <si>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</si>
  <si>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</si>
  <si>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</si>
  <si>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</si>
  <si>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</si>
  <si>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</si>
  <si>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</si>
  <si>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</si>
  <si>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</si>
  <si>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</si>
  <si>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</si>
  <si>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</si>
  <si>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</si>
  <si>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</si>
  <si>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</si>
  <si>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</si>
  <si>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</si>
  <si>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</si>
  <si>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</si>
  <si>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</si>
  <si>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</si>
  <si>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</si>
  <si>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</si>
  <si>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</si>
  <si>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</si>
  <si>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</si>
  <si>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</si>
  <si>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</si>
  <si>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</si>
  <si>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</si>
  <si>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</si>
  <si>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</si>
  <si>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</si>
  <si>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</si>
  <si>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</si>
  <si>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</si>
  <si>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</si>
  <si>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</si>
  <si>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</si>
  <si>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</si>
  <si>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</si>
  <si>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</si>
  <si>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</si>
  <si>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</si>
  <si>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</si>
  <si>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</si>
  <si>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</si>
  <si>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</si>
  <si>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</si>
  <si>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</si>
  <si>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</si>
  <si>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</si>
  <si>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</si>
  <si>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</si>
  <si>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</si>
  <si>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</si>
  <si>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</si>
  <si>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</si>
  <si>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</si>
  <si>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</si>
  <si>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</si>
  <si>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</si>
  <si>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</si>
  <si>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</si>
  <si>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</si>
  <si>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</si>
  <si>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</si>
  <si>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</si>
  <si>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</si>
  <si>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</si>
  <si>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</si>
  <si>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</si>
  <si>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</si>
  <si>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</si>
  <si>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</si>
  <si>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</si>
  <si>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</si>
  <si>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</si>
  <si>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</si>
  <si>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</si>
  <si>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</si>
  <si>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</si>
  <si>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</si>
  <si>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</si>
  <si>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</si>
  <si>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</si>
  <si>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</si>
  <si>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</si>
  <si>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</si>
  <si>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</si>
  <si>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</si>
  <si>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</si>
  <si>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</si>
  <si>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</si>
  <si>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</si>
  <si>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</si>
  <si>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</si>
  <si>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</si>
  <si>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</si>
  <si>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</si>
  <si>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</si>
  <si>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</si>
  <si>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</si>
  <si>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</si>
  <si>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</si>
  <si>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</si>
  <si>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</si>
  <si>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</si>
  <si>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</si>
  <si>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</si>
  <si>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</si>
  <si>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</si>
  <si>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</si>
  <si>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</si>
  <si>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</si>
  <si>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</si>
  <si>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</si>
  <si>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</si>
  <si>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</si>
  <si>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</si>
  <si>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</si>
  <si>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</si>
  <si>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</si>
  <si>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</si>
  <si>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</si>
  <si>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</si>
  <si>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</si>
  <si>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</si>
  <si>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</si>
  <si>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</si>
  <si>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</si>
  <si>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</si>
  <si>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</si>
  <si>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</si>
  <si>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</si>
  <si>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</si>
  <si>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</si>
  <si>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</si>
  <si>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</si>
  <si>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</si>
  <si>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</si>
  <si>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</si>
  <si>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</si>
  <si>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</si>
  <si>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</si>
  <si>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</si>
  <si>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</si>
  <si>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</si>
  <si>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</si>
  <si>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</si>
  <si>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</si>
  <si>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</si>
  <si>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</si>
  <si>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</si>
  <si>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</si>
  <si>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</si>
  <si>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</si>
  <si>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</si>
  <si>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</si>
  <si>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</si>
  <si>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</si>
  <si>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</si>
  <si>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</si>
  <si>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</si>
  <si>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</si>
  <si>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</si>
  <si>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</si>
  <si>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</si>
  <si>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</si>
  <si>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</si>
  <si>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</si>
  <si>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</si>
  <si>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</si>
  <si>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</si>
  <si>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</si>
  <si>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</si>
  <si>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</si>
  <si>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</si>
  <si>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</si>
  <si>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</si>
  <si>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</si>
  <si>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</si>
  <si>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</si>
  <si>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</si>
  <si>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</si>
  <si>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</si>
  <si>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</si>
  <si>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</si>
  <si>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</si>
  <si>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</si>
  <si>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</si>
  <si>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</si>
  <si>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</si>
  <si>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</si>
  <si>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</si>
  <si>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</si>
  <si>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</si>
  <si>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</si>
  <si>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</si>
  <si>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</si>
  <si>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</si>
  <si>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</si>
  <si>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</si>
  <si>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</si>
  <si>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</si>
  <si>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</si>
  <si>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</si>
  <si>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</si>
  <si>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</si>
  <si>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</si>
  <si>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</si>
  <si>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</si>
  <si>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</si>
  <si>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</si>
  <si>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</si>
  <si>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</si>
  <si>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</si>
  <si>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</si>
  <si>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</si>
  <si>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</si>
  <si>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</si>
  <si>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</si>
  <si>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</si>
  <si>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</si>
  <si>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</si>
  <si>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</si>
  <si>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</si>
  <si>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</si>
  <si>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</si>
  <si>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</si>
  <si>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</si>
  <si>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</si>
  <si>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</si>
  <si>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</si>
  <si>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</si>
  <si>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</si>
  <si>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</si>
  <si>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</si>
  <si>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</si>
  <si>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</si>
  <si>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</si>
  <si>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</si>
  <si>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</si>
  <si>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</si>
  <si>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</si>
  <si>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</si>
  <si>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</si>
  <si>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</si>
  <si>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</si>
  <si>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</si>
  <si>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</si>
  <si>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</si>
  <si>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</si>
  <si>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</si>
  <si>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</si>
  <si>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</si>
  <si>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</si>
  <si>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</si>
  <si>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</si>
  <si>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</si>
  <si>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</si>
  <si>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</si>
  <si>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</si>
  <si>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</si>
  <si>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</si>
  <si>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</si>
  <si>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</si>
  <si>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</si>
  <si>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</si>
  <si>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</si>
  <si>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</si>
  <si>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</si>
  <si>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</si>
  <si>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</si>
  <si>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</si>
  <si>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</si>
  <si>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</si>
  <si>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</si>
  <si>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</si>
  <si>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</si>
  <si>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</si>
  <si>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</si>
  <si>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</si>
  <si>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</si>
  <si>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</si>
  <si>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</si>
  <si>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</si>
  <si>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</si>
  <si>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</si>
  <si>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</si>
  <si>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</si>
  <si>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</si>
  <si>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</si>
  <si>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</si>
  <si>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</si>
  <si>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</si>
  <si>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</si>
  <si>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</si>
  <si>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</si>
  <si>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</si>
  <si>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</si>
  <si>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</si>
  <si>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</si>
  <si>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</si>
  <si>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</si>
  <si>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</si>
  <si>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</si>
  <si>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</si>
  <si>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</si>
  <si>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</si>
  <si>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</si>
  <si>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</si>
  <si>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</si>
  <si>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</si>
  <si>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</si>
  <si>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</si>
  <si>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</si>
  <si>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</si>
  <si>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</si>
  <si>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</si>
  <si>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</si>
  <si>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</si>
  <si>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</si>
  <si>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</si>
  <si>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</si>
  <si>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</si>
  <si>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</si>
  <si>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</si>
  <si>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</si>
  <si>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</si>
  <si>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</si>
  <si>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</si>
  <si>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</si>
  <si>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</si>
  <si>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</si>
  <si>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</si>
  <si>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</si>
  <si>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</si>
  <si>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</si>
  <si>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</si>
  <si>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</si>
  <si>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</si>
  <si>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</si>
  <si>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</si>
  <si>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</si>
  <si>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</si>
  <si>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</si>
  <si>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</si>
  <si>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</si>
  <si>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</si>
  <si>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</si>
  <si>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</si>
  <si>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</si>
  <si>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</si>
  <si>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</si>
  <si>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</si>
  <si>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</si>
  <si>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</si>
  <si>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</si>
  <si>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</si>
  <si>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</si>
  <si>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</si>
  <si>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</si>
  <si>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</si>
  <si>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</si>
  <si>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</si>
  <si>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</si>
  <si>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</si>
  <si>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</si>
  <si>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</si>
  <si>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</si>
  <si>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</si>
  <si>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</si>
  <si>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</si>
  <si>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</si>
  <si>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</si>
  <si>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</si>
  <si>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</si>
  <si>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</si>
  <si>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</si>
  <si>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</si>
  <si>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</si>
  <si>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</si>
  <si>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</si>
  <si>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</si>
  <si>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</si>
  <si>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</si>
  <si>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</si>
  <si>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</si>
  <si>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</si>
  <si>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</si>
  <si>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</si>
  <si>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</si>
  <si>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</si>
  <si>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</si>
  <si>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</si>
  <si>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</si>
  <si>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</si>
  <si>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</si>
  <si>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</si>
  <si>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</si>
  <si>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</si>
  <si>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</si>
  <si>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</si>
  <si>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</si>
  <si>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</si>
  <si>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</si>
  <si>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</si>
  <si>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</si>
  <si>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</si>
  <si>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</si>
  <si>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</si>
  <si>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</si>
  <si>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</si>
  <si>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</si>
  <si>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</si>
  <si>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</si>
  <si>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</si>
  <si>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</si>
  <si>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</si>
  <si>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</si>
  <si>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</si>
  <si>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</si>
  <si>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</si>
  <si>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</si>
  <si>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</si>
  <si>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</si>
  <si>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</si>
  <si>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</si>
  <si>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</si>
  <si>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</si>
  <si>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</si>
  <si>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</si>
  <si>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</si>
  <si>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</si>
  <si>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</si>
  <si>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</si>
  <si>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</si>
  <si>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</si>
  <si>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</si>
  <si>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</si>
  <si>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</si>
  <si>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</si>
  <si>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</si>
  <si>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</si>
  <si>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</si>
  <si>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</si>
  <si>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</si>
  <si>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</si>
  <si>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</si>
  <si>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</si>
  <si>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</si>
  <si>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</si>
  <si>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</si>
  <si>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</si>
  <si>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</si>
  <si>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</si>
  <si>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</si>
  <si>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</si>
  <si>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</si>
  <si>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</si>
  <si>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</si>
  <si>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</si>
  <si>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</si>
  <si>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</si>
  <si>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</si>
  <si>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</si>
  <si>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</si>
  <si>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</si>
  <si>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</si>
  <si>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</si>
  <si>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</si>
  <si>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</si>
  <si>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</si>
  <si>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</si>
  <si>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</si>
  <si>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</si>
  <si>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</si>
  <si>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</si>
  <si>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</si>
  <si>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</si>
  <si>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</si>
  <si>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</si>
  <si>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</si>
  <si>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</si>
  <si>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</si>
  <si>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</si>
  <si>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</si>
  <si>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</si>
  <si>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</si>
  <si>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</si>
  <si>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</si>
  <si>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</si>
  <si>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</si>
  <si>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</si>
  <si>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</si>
  <si>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</si>
  <si>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</si>
  <si>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</si>
  <si>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</si>
  <si>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</si>
  <si>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</si>
  <si>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</si>
  <si>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</si>
  <si>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</si>
  <si>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</si>
  <si>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</si>
  <si>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</si>
  <si>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</si>
  <si>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</si>
  <si>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</si>
  <si>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</si>
  <si>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</si>
  <si>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</si>
  <si>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</si>
  <si>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</si>
  <si>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</si>
  <si>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</si>
  <si>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</si>
  <si>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</si>
  <si>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</si>
  <si>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</si>
  <si>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</si>
  <si>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</si>
  <si>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</si>
  <si>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</si>
  <si>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</si>
  <si>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</si>
  <si>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</si>
  <si>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</si>
  <si>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</si>
  <si>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</si>
  <si>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</si>
  <si>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</si>
  <si>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</si>
  <si>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</si>
  <si>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</si>
  <si>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</si>
  <si>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</si>
  <si>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</si>
  <si>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</si>
  <si>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</si>
  <si>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</si>
  <si>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</si>
  <si>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</si>
  <si>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</si>
  <si>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</si>
  <si>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</si>
  <si>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</si>
  <si>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</si>
  <si>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</si>
  <si>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</si>
  <si>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</si>
  <si>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</si>
  <si>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</si>
  <si>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</si>
  <si>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</si>
  <si>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</si>
  <si>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</si>
  <si>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</si>
  <si>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</si>
  <si>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</si>
  <si>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</si>
  <si>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</si>
  <si>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</si>
  <si>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</si>
  <si>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</si>
  <si>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</si>
  <si>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</si>
  <si>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</si>
  <si>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</si>
  <si>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</si>
  <si>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</si>
  <si>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</si>
  <si>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</si>
  <si>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</si>
  <si>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</si>
  <si>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</si>
  <si>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</si>
  <si>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</si>
  <si>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</si>
  <si>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</si>
  <si>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</si>
  <si>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</si>
  <si>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</si>
  <si>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</si>
  <si>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</si>
  <si>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</si>
  <si>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</si>
  <si>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</si>
  <si>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</si>
  <si>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</si>
  <si>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</si>
  <si>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</si>
  <si>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</si>
  <si>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</si>
  <si>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</si>
  <si>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</si>
  <si>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</si>
  <si>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</si>
  <si>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</si>
  <si>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</si>
  <si>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</si>
  <si>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</si>
  <si>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</si>
  <si>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</si>
  <si>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</si>
  <si>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</si>
  <si>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</si>
  <si>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</si>
  <si>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</si>
  <si>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</si>
  <si>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</si>
  <si>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</si>
  <si>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</si>
  <si>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</si>
  <si>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</si>
  <si>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</si>
  <si>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</si>
  <si>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</si>
  <si>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</si>
  <si>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</si>
  <si>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</si>
  <si>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</si>
  <si>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</si>
  <si>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</si>
  <si>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</si>
  <si>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</si>
  <si>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</si>
  <si>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</si>
  <si>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</si>
  <si>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</si>
  <si>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</si>
  <si>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</si>
  <si>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</si>
  <si>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</si>
  <si>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</si>
  <si>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</si>
  <si>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</si>
  <si>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</si>
  <si>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</si>
  <si>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</si>
  <si>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</si>
  <si>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</si>
  <si>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</si>
  <si>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</si>
  <si>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</si>
  <si>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</si>
  <si>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</si>
  <si>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</si>
  <si>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</si>
  <si>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</si>
  <si>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</si>
  <si>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</si>
  <si>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</si>
  <si>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</si>
  <si>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</si>
  <si>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</si>
  <si>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</si>
  <si>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</si>
  <si>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</si>
  <si>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</si>
  <si>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</si>
  <si>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</si>
  <si>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</si>
  <si>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</si>
  <si>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</si>
  <si>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</si>
  <si>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</si>
  <si>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</si>
  <si>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</si>
  <si>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</si>
  <si>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</si>
  <si>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</si>
  <si>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</si>
  <si>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</si>
  <si>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</si>
  <si>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</si>
  <si>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</si>
  <si>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</si>
  <si>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</si>
  <si>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</si>
  <si>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</si>
  <si>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</si>
  <si>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</si>
  <si>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</si>
  <si>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</si>
  <si>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</si>
  <si>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</si>
  <si>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</si>
  <si>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</si>
  <si>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</si>
  <si>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</si>
  <si>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</si>
  <si>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</si>
  <si>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</si>
  <si>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</si>
  <si>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</si>
  <si>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</si>
  <si>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</si>
  <si>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</si>
  <si>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</si>
  <si>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</si>
  <si>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</si>
  <si>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</si>
  <si>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</si>
  <si>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</si>
  <si>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</si>
  <si>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</si>
  <si>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</si>
  <si>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</si>
  <si>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</si>
  <si>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</si>
  <si>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</si>
  <si>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</si>
  <si>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</si>
  <si>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</si>
  <si>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</si>
  <si>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</si>
  <si>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</si>
  <si>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</si>
  <si>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</si>
  <si>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</si>
  <si>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</si>
  <si>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</si>
  <si>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</si>
  <si>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</si>
  <si>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</si>
  <si>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</si>
  <si>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</si>
  <si>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</si>
  <si>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</si>
  <si>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</si>
  <si>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</si>
  <si>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</si>
  <si>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</si>
  <si>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</si>
  <si>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</si>
  <si>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</si>
  <si>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</si>
  <si>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</si>
  <si>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</si>
  <si>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</si>
  <si>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</si>
  <si>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</si>
  <si>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</si>
  <si>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</si>
  <si>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</si>
  <si>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</si>
  <si>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</si>
  <si>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</si>
  <si>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</si>
  <si>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</si>
  <si>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</si>
  <si>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</si>
  <si>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</si>
  <si>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</si>
  <si>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</si>
  <si>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</si>
  <si>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</si>
  <si>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</si>
  <si>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</si>
  <si>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</si>
  <si>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</si>
  <si>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</si>
  <si>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</si>
  <si>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</si>
  <si>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</si>
  <si>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</si>
  <si>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</si>
  <si>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</si>
  <si>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</si>
  <si>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</si>
  <si>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</si>
  <si>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</si>
  <si>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</si>
  <si>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</si>
  <si>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</si>
  <si>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</si>
  <si>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</si>
  <si>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</si>
  <si>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</si>
  <si>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</si>
  <si>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</si>
  <si>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</si>
  <si>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</si>
  <si>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</si>
  <si>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</si>
  <si>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</si>
  <si>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</si>
  <si>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</si>
  <si>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</si>
  <si>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</si>
  <si>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</si>
  <si>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</si>
  <si>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</si>
  <si>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</si>
  <si>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</si>
  <si>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</si>
  <si>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</si>
  <si>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</si>
  <si>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</si>
  <si>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</si>
  <si>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</si>
  <si>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</si>
  <si>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</si>
  <si>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</si>
  <si>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</si>
  <si>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</si>
  <si>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</si>
  <si>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</si>
  <si>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</si>
  <si>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</si>
  <si>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</si>
  <si>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</si>
  <si>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</si>
  <si>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</si>
  <si>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</si>
  <si>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</si>
  <si>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</si>
  <si>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</si>
  <si>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</si>
  <si>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</si>
  <si>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</si>
  <si>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</si>
  <si>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</si>
  <si>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</si>
  <si>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</si>
  <si>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</si>
  <si>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</si>
  <si>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</si>
  <si>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</si>
  <si>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</si>
  <si>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</si>
  <si>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</si>
  <si>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</si>
  <si>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</si>
  <si>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</si>
  <si>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</si>
  <si>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</si>
  <si>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</si>
  <si>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</si>
  <si>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</si>
  <si>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</si>
  <si>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</si>
  <si>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</si>
  <si>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</si>
  <si>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</si>
  <si>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</si>
  <si>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</si>
  <si>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</si>
  <si>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</si>
  <si>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</si>
  <si>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</si>
  <si>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</si>
  <si>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</si>
  <si>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</si>
  <si>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</si>
  <si>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</si>
  <si>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</si>
  <si>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</si>
  <si>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</si>
  <si>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</si>
  <si>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</si>
  <si>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</si>
  <si>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</si>
  <si>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</si>
  <si>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</si>
  <si>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</si>
  <si>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</si>
  <si>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</si>
  <si>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</si>
  <si>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</si>
  <si>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</si>
  <si>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</si>
  <si>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</si>
  <si>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</si>
  <si>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</si>
  <si>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</si>
  <si>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</si>
  <si>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</si>
  <si>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</si>
  <si>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</si>
  <si>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</si>
  <si>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</si>
  <si>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</si>
  <si>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</si>
  <si>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</si>
  <si>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</si>
  <si>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</si>
  <si>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</si>
  <si>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</si>
  <si>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</si>
  <si>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</si>
  <si>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</si>
  <si>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</si>
  <si>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</si>
  <si>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</si>
  <si>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</si>
  <si>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</si>
  <si>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</si>
  <si>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</si>
  <si>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</si>
  <si>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</si>
  <si>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</si>
  <si>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</si>
  <si>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</si>
  <si>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</si>
  <si>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</si>
  <si>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</si>
  <si>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</si>
  <si>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</si>
  <si>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</si>
  <si>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</si>
  <si>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</si>
  <si>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</si>
  <si>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</si>
  <si>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</si>
  <si>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</si>
  <si>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</si>
  <si>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</si>
  <si>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</si>
  <si>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</si>
  <si>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</si>
  <si>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</si>
  <si>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</si>
  <si>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</si>
  <si>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</si>
  <si>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</si>
  <si>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</si>
  <si>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</si>
  <si>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</si>
  <si>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</si>
  <si>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</si>
  <si>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</si>
  <si>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</si>
  <si>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</si>
  <si>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</si>
  <si>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</si>
  <si>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</si>
  <si>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</si>
  <si>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</si>
  <si>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</si>
  <si>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</si>
  <si>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</si>
  <si>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</si>
  <si>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</si>
  <si>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</si>
  <si>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</si>
  <si>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</si>
  <si>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</si>
  <si>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</si>
  <si>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</si>
  <si>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</si>
  <si>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</si>
  <si>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</si>
  <si>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</si>
  <si>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</si>
  <si>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</si>
  <si>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</si>
  <si>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</si>
  <si>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</si>
  <si>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</si>
  <si>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</si>
  <si>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</si>
  <si>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</si>
  <si>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</si>
  <si>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</si>
  <si>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</si>
  <si>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</si>
  <si>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</si>
  <si>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</si>
  <si>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</si>
  <si>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</si>
  <si>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</si>
  <si>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</si>
  <si>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</si>
  <si>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</si>
  <si>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</si>
  <si>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</si>
  <si>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</si>
  <si>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</si>
  <si>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</si>
  <si>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</si>
  <si>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</si>
  <si>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</si>
  <si>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</si>
  <si>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</si>
  <si>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</si>
  <si>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</si>
  <si>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</si>
  <si>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</si>
  <si>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</si>
  <si>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</si>
  <si>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</si>
  <si>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</si>
  <si>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</si>
  <si>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</si>
  <si>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</si>
  <si>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</si>
  <si>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</si>
  <si>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</si>
  <si>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</si>
  <si>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</si>
  <si>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</si>
  <si>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</si>
  <si>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</si>
  <si>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</si>
  <si>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</si>
  <si>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</si>
  <si>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</si>
  <si>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</si>
  <si>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</si>
  <si>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</si>
  <si>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</si>
  <si>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</si>
  <si>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</si>
  <si>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</si>
  <si>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</si>
  <si>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</si>
  <si>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</si>
  <si>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</si>
  <si>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</si>
  <si>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</si>
  <si>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</si>
  <si>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</si>
  <si>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</si>
  <si>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</si>
  <si>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</si>
  <si>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</si>
  <si>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</si>
  <si>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</si>
  <si>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</si>
  <si>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</si>
  <si>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</si>
  <si>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</si>
  <si>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</si>
  <si>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</si>
  <si>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</si>
  <si>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</si>
  <si>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</si>
  <si>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</si>
  <si>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</si>
  <si>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</si>
  <si>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</si>
  <si>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</si>
  <si>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</si>
  <si>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</si>
  <si>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</si>
  <si>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</si>
  <si>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</si>
  <si>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</si>
  <si>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</si>
  <si>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</si>
  <si>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</si>
  <si>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</si>
  <si>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</si>
  <si>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</si>
  <si>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</si>
  <si>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</si>
  <si>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</si>
  <si>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</si>
  <si>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</si>
  <si>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</si>
  <si>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</si>
  <si>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</si>
  <si>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</si>
  <si>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</si>
  <si>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</si>
  <si>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</si>
  <si>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</si>
  <si>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</si>
  <si>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</si>
  <si>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</si>
  <si>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</si>
  <si>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</si>
  <si>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</si>
  <si>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</si>
  <si>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</si>
  <si>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</si>
  <si>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</si>
  <si>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</si>
  <si>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</si>
  <si>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</si>
  <si>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</si>
  <si>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</si>
  <si>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</si>
  <si>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</si>
  <si>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</si>
  <si>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</si>
  <si>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</si>
  <si>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</si>
  <si>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</si>
  <si>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</si>
  <si>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</si>
  <si>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</si>
  <si>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</si>
  <si>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</si>
  <si>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</si>
  <si>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</si>
  <si>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</si>
  <si>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</si>
  <si>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</si>
  <si>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</si>
  <si>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</si>
  <si>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</si>
  <si>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</si>
  <si>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</si>
  <si>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</si>
  <si>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</si>
  <si>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</si>
  <si>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</si>
  <si>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</si>
  <si>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</si>
  <si>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</si>
  <si>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</si>
  <si>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</si>
  <si>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</si>
  <si>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</si>
  <si>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</si>
  <si>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</si>
  <si>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</si>
  <si>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</si>
  <si>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</si>
  <si>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</si>
  <si>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</si>
  <si>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</si>
  <si>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</si>
  <si>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</si>
  <si>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</si>
  <si>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</si>
  <si>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</si>
  <si>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</si>
  <si>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</si>
  <si>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</si>
  <si>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</si>
  <si>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</si>
  <si>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</si>
  <si>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</si>
  <si>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</si>
  <si>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</si>
  <si>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</si>
  <si>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</si>
  <si>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</si>
  <si>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</si>
  <si>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</si>
  <si>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</si>
  <si>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</si>
  <si>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</si>
  <si>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</si>
  <si>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</si>
  <si>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</si>
  <si>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</si>
  <si>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</si>
  <si>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</si>
  <si>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</si>
  <si>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</si>
  <si>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</si>
  <si>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</si>
  <si>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</si>
  <si>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</si>
  <si>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</si>
  <si>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</si>
  <si>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</si>
  <si>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</si>
  <si>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</si>
  <si>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</si>
  <si>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</si>
  <si>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</si>
  <si>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</si>
  <si>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</si>
  <si>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</si>
  <si>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</si>
  <si>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</si>
  <si>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</si>
  <si>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</si>
  <si>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</si>
  <si>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</si>
  <si>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</si>
  <si>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</si>
  <si>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</si>
  <si>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</si>
  <si>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</si>
  <si>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</si>
  <si>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</si>
  <si>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</si>
  <si>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</si>
  <si>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</si>
  <si>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</si>
  <si>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</si>
  <si>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</si>
  <si>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</si>
  <si>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</si>
  <si>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</si>
  <si>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</si>
  <si>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</si>
  <si>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</si>
  <si>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</si>
  <si>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</si>
  <si>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</si>
  <si>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</si>
  <si>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</si>
  <si>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</si>
  <si>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</si>
  <si>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</si>
  <si>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</si>
  <si>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</si>
  <si>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</si>
  <si>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</si>
  <si>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</si>
  <si>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</si>
  <si>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</si>
  <si>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</si>
  <si>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</si>
  <si>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</si>
  <si>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</si>
  <si>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</si>
  <si>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</si>
  <si>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</si>
  <si>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</si>
  <si>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</si>
  <si>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</si>
  <si>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</si>
  <si>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</si>
  <si>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</si>
  <si>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</si>
  <si>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</si>
  <si>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</si>
  <si>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</si>
  <si>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</si>
  <si>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</si>
  <si>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</si>
  <si>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</si>
  <si>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</si>
  <si>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</si>
  <si>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</si>
  <si>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</si>
  <si>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</si>
  <si>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</si>
  <si>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</si>
  <si>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</si>
  <si>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</si>
  <si>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</si>
  <si>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</si>
  <si>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</si>
  <si>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</si>
  <si>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</si>
  <si>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</si>
  <si>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</si>
  <si>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</si>
  <si>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</si>
  <si>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</si>
  <si>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</si>
  <si>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</si>
  <si>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</si>
  <si>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</si>
  <si>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</si>
  <si>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</si>
  <si>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</si>
  <si>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</si>
  <si>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</si>
  <si>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</si>
  <si>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</si>
  <si>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</si>
  <si>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</si>
  <si>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</si>
  <si>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</si>
  <si>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</si>
  <si>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</si>
  <si>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</si>
  <si>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</si>
  <si>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</si>
  <si>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</si>
  <si>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</si>
  <si>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</si>
  <si>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</si>
  <si>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</si>
  <si>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</si>
  <si>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</si>
  <si>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</si>
  <si>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</si>
  <si>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</si>
  <si>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</si>
  <si>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</si>
  <si>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</si>
  <si>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</si>
  <si>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</si>
  <si>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</si>
  <si>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</si>
  <si>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</si>
  <si>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</si>
  <si>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</si>
  <si>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</si>
  <si>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</si>
  <si>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</si>
  <si>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</si>
  <si>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</si>
  <si>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</si>
  <si>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</si>
  <si>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</si>
  <si>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</si>
  <si>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</si>
  <si>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</si>
  <si>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</si>
  <si>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</si>
  <si>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</si>
  <si>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</si>
  <si>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</si>
  <si>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</si>
  <si>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</si>
  <si>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</si>
  <si>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</si>
  <si>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</si>
  <si>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</si>
  <si>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</si>
  <si>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</si>
  <si>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</si>
  <si>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</si>
  <si>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</si>
  <si>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</si>
  <si>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</si>
  <si>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</si>
  <si>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</si>
  <si>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</si>
  <si>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</si>
  <si>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</si>
  <si>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</si>
  <si>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</si>
  <si>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</si>
  <si>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</si>
  <si>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</si>
  <si>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</si>
  <si>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</si>
  <si>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</si>
  <si>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</si>
  <si>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</si>
  <si>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</si>
  <si>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</si>
  <si>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</si>
  <si>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</si>
  <si>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</si>
  <si>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</si>
  <si>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</si>
  <si>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</si>
  <si>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</si>
  <si>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</si>
  <si>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</si>
  <si>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</si>
  <si>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</si>
  <si>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</si>
  <si>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</si>
  <si>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</si>
  <si>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</si>
  <si>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</si>
  <si>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</si>
  <si>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</si>
  <si>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</si>
  <si>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</si>
  <si>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</si>
  <si>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</si>
  <si>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</si>
  <si>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</si>
  <si>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</si>
  <si>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</si>
  <si>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</si>
  <si>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</si>
  <si>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</si>
  <si>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</si>
  <si>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</si>
  <si>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</si>
  <si>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</si>
  <si>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</si>
  <si>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</si>
  <si>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</si>
  <si>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</si>
  <si>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</si>
  <si>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</si>
  <si>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</si>
  <si>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</si>
  <si>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</si>
  <si>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</si>
  <si>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</si>
  <si>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</si>
  <si>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</si>
  <si>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</si>
  <si>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</si>
  <si>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</si>
  <si>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</si>
  <si>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</si>
  <si>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</si>
  <si>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</si>
  <si>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</si>
  <si>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</si>
  <si>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</si>
  <si>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</si>
  <si>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</si>
  <si>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</si>
  <si>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</si>
  <si>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</si>
  <si>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</si>
  <si>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</si>
  <si>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</si>
  <si>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</si>
  <si>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</si>
  <si>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</si>
  <si>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</si>
  <si>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</si>
  <si>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</si>
  <si>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</si>
  <si>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</si>
  <si>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</si>
  <si>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</si>
  <si>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</si>
  <si>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</si>
  <si>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</si>
  <si>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</si>
  <si>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</si>
  <si>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</si>
  <si>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</si>
  <si>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</si>
  <si>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</si>
  <si>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</si>
  <si>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</si>
  <si>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</si>
  <si>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</si>
  <si>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</si>
  <si>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</si>
  <si>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</si>
  <si>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</si>
  <si>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</si>
  <si>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</si>
  <si>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</si>
  <si>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</si>
  <si>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</si>
  <si>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</si>
  <si>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</si>
  <si>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</si>
  <si>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</si>
  <si>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</si>
  <si>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</si>
  <si>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</si>
  <si>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</si>
  <si>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</si>
  <si>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</si>
  <si>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</si>
  <si>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</si>
  <si>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</si>
  <si>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</si>
  <si>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</si>
  <si>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</si>
  <si>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</si>
  <si>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</si>
  <si>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</si>
  <si>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</si>
  <si>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</si>
  <si>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</si>
  <si>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</si>
  <si>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</si>
  <si>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</si>
  <si>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</si>
  <si>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</si>
  <si>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</si>
  <si>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</si>
  <si>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</si>
  <si>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</si>
  <si>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</si>
  <si>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</si>
  <si>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</si>
  <si>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</si>
  <si>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</si>
  <si>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</si>
  <si>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</si>
  <si>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</si>
  <si>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</si>
  <si>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</si>
  <si>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</si>
  <si>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</si>
  <si>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</si>
  <si>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</si>
  <si>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</si>
  <si>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</si>
  <si>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</si>
  <si>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</si>
  <si>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</si>
  <si>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</si>
  <si>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</si>
  <si>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</si>
  <si>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</si>
  <si>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</si>
  <si>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</si>
  <si>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</si>
  <si>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</si>
  <si>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</si>
  <si>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</si>
  <si>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</si>
  <si>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</si>
  <si>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</si>
  <si>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</si>
  <si>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</si>
  <si>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</si>
  <si>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</si>
  <si>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</si>
  <si>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</si>
  <si>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</si>
  <si>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</si>
  <si>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</si>
  <si>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</si>
  <si>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</si>
  <si>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</si>
  <si>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</si>
  <si>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</si>
  <si>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</si>
  <si>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</si>
  <si>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</si>
  <si>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</si>
  <si>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</si>
  <si>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</si>
  <si>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</si>
  <si>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</si>
  <si>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</si>
  <si>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</si>
  <si>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</si>
  <si>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</si>
  <si>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</si>
  <si>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</si>
  <si>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</si>
  <si>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</si>
  <si>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</si>
  <si>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</si>
  <si>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</si>
  <si>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</si>
  <si>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</si>
  <si>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</si>
  <si>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</si>
  <si>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</si>
  <si>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</si>
  <si>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</si>
  <si>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</si>
  <si>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</si>
  <si>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</si>
  <si>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</si>
  <si>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</si>
  <si>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</si>
  <si>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</si>
  <si>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</si>
  <si>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</si>
  <si>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</si>
  <si>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</si>
  <si>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</si>
  <si>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</si>
  <si>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</si>
  <si>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</si>
  <si>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</si>
  <si>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</si>
  <si>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</si>
  <si>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</si>
  <si>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</si>
  <si>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</si>
  <si>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</si>
  <si>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</si>
  <si>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</si>
  <si>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</si>
  <si>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</si>
  <si>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</si>
  <si>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</si>
  <si>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</si>
  <si>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</si>
  <si>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</si>
  <si>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</si>
  <si>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</si>
  <si>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</si>
  <si>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</si>
  <si>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</si>
  <si>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</si>
  <si>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</si>
  <si>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</si>
  <si>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</si>
  <si>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</si>
  <si>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</si>
  <si>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</si>
  <si>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</si>
  <si>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</si>
  <si>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</si>
  <si>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</si>
  <si>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</si>
  <si>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</si>
  <si>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</si>
  <si>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</si>
  <si>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</si>
  <si>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</si>
  <si>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</si>
  <si>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</si>
  <si>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</si>
  <si>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</si>
  <si>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</si>
  <si>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</si>
  <si>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</si>
  <si>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</si>
  <si>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</si>
  <si>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</si>
  <si>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</si>
  <si>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</si>
  <si>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</si>
  <si>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</si>
  <si>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</si>
  <si>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</si>
  <si>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</si>
  <si>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</si>
  <si>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</si>
  <si>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</si>
  <si>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</si>
  <si>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</si>
  <si>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</si>
  <si>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</si>
  <si>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</si>
  <si>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</si>
  <si>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</si>
  <si>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</si>
  <si>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</si>
  <si>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</si>
  <si>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</si>
  <si>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</si>
  <si>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</si>
  <si>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</si>
  <si>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</si>
  <si>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</si>
  <si>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</si>
  <si>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</si>
  <si>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</si>
  <si>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</si>
  <si>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</si>
  <si>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</si>
  <si>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</si>
  <si>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</si>
  <si>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</si>
  <si>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</si>
  <si>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</si>
  <si>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</si>
  <si>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</si>
  <si>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</si>
  <si>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</si>
  <si>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</si>
  <si>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</si>
  <si>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</si>
  <si>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</si>
  <si>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</si>
  <si>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</si>
  <si>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</si>
  <si>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</si>
  <si>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</si>
  <si>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</si>
  <si>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</si>
  <si>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</si>
  <si>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</si>
  <si>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</si>
  <si>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</si>
  <si>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</si>
  <si>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</si>
  <si>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</si>
  <si>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</si>
  <si>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</si>
  <si>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</si>
  <si>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</si>
  <si>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</si>
  <si>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</si>
  <si>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</si>
  <si>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</si>
  <si>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</si>
  <si>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</si>
  <si>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</si>
  <si>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</si>
  <si>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</si>
  <si>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</si>
  <si>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</si>
  <si>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</si>
  <si>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</si>
  <si>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</si>
  <si>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</si>
  <si>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</si>
  <si>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</si>
  <si>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</si>
  <si>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</si>
  <si>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</si>
  <si>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</si>
  <si>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</si>
  <si>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</si>
  <si>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</si>
  <si>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</si>
  <si>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</si>
  <si>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</si>
  <si>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</si>
  <si>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</si>
  <si>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</si>
  <si>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</si>
  <si>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</si>
  <si>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</si>
  <si>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</si>
  <si>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</si>
  <si>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</si>
  <si>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</si>
  <si>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</si>
  <si>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</si>
  <si>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</si>
  <si>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</si>
  <si>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</si>
  <si>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</si>
  <si>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</si>
  <si>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</si>
  <si>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</si>
  <si>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</si>
  <si>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</si>
  <si>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</si>
  <si>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</si>
  <si>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</si>
  <si>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</si>
  <si>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</si>
  <si>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</si>
  <si>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</si>
  <si>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</si>
  <si>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</si>
  <si>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</si>
  <si>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</si>
  <si>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</si>
  <si>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</si>
  <si>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</si>
  <si>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</si>
  <si>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</si>
  <si>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</si>
  <si>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</si>
  <si>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</si>
  <si>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</si>
  <si>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</si>
  <si>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</si>
  <si>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</si>
  <si>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</si>
  <si>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</si>
  <si>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</si>
  <si>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</si>
  <si>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</si>
  <si>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</si>
  <si>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</si>
  <si>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</si>
  <si>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</si>
  <si>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</si>
  <si>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</si>
  <si>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</si>
  <si>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</si>
  <si>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</si>
  <si>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</si>
  <si>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</si>
  <si>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</si>
  <si>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</si>
  <si>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</si>
  <si>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</si>
  <si>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</si>
  <si>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</si>
  <si>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</si>
  <si>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</si>
  <si>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</si>
  <si>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</si>
  <si>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</si>
  <si>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</si>
  <si>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</si>
  <si>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</si>
  <si>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</si>
  <si>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</si>
  <si>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</si>
  <si>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</si>
  <si>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</si>
  <si>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</si>
  <si>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</si>
  <si>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</si>
  <si>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</si>
  <si>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</si>
  <si>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</si>
  <si>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</si>
  <si>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</si>
  <si>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</si>
  <si>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</si>
  <si>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</si>
  <si>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</si>
  <si>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</si>
  <si>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</si>
  <si>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</si>
  <si>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</si>
  <si>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</si>
  <si>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</si>
  <si>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</si>
  <si>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</si>
  <si>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</si>
  <si>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</si>
  <si>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</si>
  <si>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</si>
  <si>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</si>
  <si>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</si>
  <si>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</si>
  <si>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</si>
  <si>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</si>
  <si>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</si>
  <si>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</si>
  <si>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</si>
  <si>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</si>
  <si>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</si>
  <si>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</si>
  <si>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</si>
  <si>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</si>
  <si>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</si>
  <si>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</si>
  <si>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</si>
  <si>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</si>
  <si>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</si>
  <si>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</si>
  <si>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</si>
  <si>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</si>
  <si>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</si>
  <si>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</si>
  <si>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</si>
  <si>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</si>
  <si>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</si>
  <si>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</si>
  <si>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</si>
  <si>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</si>
  <si>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</si>
  <si>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</si>
  <si>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</si>
  <si>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</si>
  <si>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</si>
  <si>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</si>
  <si>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</si>
  <si>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</si>
  <si>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</si>
  <si>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</si>
  <si>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</si>
  <si>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</si>
  <si>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</si>
  <si>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</si>
  <si>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</si>
  <si>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</si>
  <si>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</si>
  <si>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</si>
  <si>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</si>
  <si>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</si>
  <si>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</si>
  <si>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</si>
  <si>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</si>
  <si>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</si>
  <si>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</si>
  <si>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</si>
  <si>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</si>
  <si>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</si>
  <si>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</si>
  <si>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</si>
  <si>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</si>
  <si>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</si>
  <si>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</si>
  <si>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</si>
  <si>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</si>
  <si>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</si>
  <si>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</si>
  <si>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</si>
  <si>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</si>
  <si>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</si>
  <si>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</si>
  <si>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</si>
  <si>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</si>
  <si>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</si>
  <si>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</si>
  <si>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</si>
  <si>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</si>
  <si>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</si>
  <si>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</si>
  <si>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</si>
  <si>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</si>
  <si>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</si>
  <si>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</si>
  <si>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</si>
  <si>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</si>
  <si>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</si>
  <si>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</si>
  <si>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</si>
  <si>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</si>
  <si>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</si>
  <si>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</si>
  <si>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</si>
  <si>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</si>
  <si>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</si>
  <si>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</si>
  <si>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</si>
  <si>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</si>
  <si>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</si>
  <si>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</si>
  <si>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</si>
  <si>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</si>
  <si>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</si>
  <si>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</si>
  <si>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</si>
  <si>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</si>
  <si>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</si>
  <si>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</si>
  <si>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</si>
  <si>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</si>
  <si>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</si>
  <si>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</si>
  <si>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</si>
  <si>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</si>
  <si>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</si>
  <si>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</si>
  <si>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</si>
  <si>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</si>
  <si>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</si>
  <si>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</si>
  <si>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</si>
  <si>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</si>
  <si>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</si>
  <si>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</si>
  <si>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</si>
  <si>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</si>
  <si>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</si>
  <si>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</si>
  <si>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</si>
  <si>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</si>
  <si>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</si>
  <si>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</si>
  <si>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</si>
  <si>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</si>
  <si>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</si>
  <si>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</si>
  <si>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</si>
  <si>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</si>
  <si>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</si>
  <si>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</si>
  <si>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</si>
  <si>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</si>
  <si>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</si>
  <si>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</si>
  <si>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</si>
  <si>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</si>
  <si>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</si>
  <si>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</si>
  <si>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</si>
  <si>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</si>
  <si>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</si>
  <si>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</si>
  <si>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</si>
  <si>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</si>
  <si>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</si>
  <si>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</si>
  <si>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</si>
  <si>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</si>
  <si>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</si>
  <si>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</si>
  <si>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</si>
  <si>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</si>
  <si>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</si>
  <si>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</si>
  <si>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</si>
  <si>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</si>
  <si>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</si>
  <si>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</si>
  <si>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</si>
  <si>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</si>
  <si>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</si>
  <si>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</si>
  <si>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</si>
  <si>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</si>
  <si>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</si>
  <si>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</si>
  <si>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</si>
  <si>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</si>
  <si>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</si>
  <si>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</si>
  <si>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</si>
  <si>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</si>
  <si>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</si>
  <si>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</si>
  <si>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</si>
  <si>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</si>
  <si>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</si>
  <si>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</si>
  <si>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</si>
  <si>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</si>
  <si>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</si>
  <si>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</si>
  <si>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</si>
  <si>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</si>
  <si>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</si>
  <si>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</si>
  <si>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</si>
  <si>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</si>
  <si>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</si>
  <si>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</si>
  <si>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</si>
  <si>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</si>
  <si>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</si>
  <si>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</si>
  <si>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</si>
  <si>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</si>
  <si>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</si>
  <si>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</si>
  <si>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</si>
  <si>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</si>
  <si>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</si>
  <si>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</si>
  <si>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</si>
  <si>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</si>
  <si>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</si>
  <si>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</si>
  <si>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</si>
  <si>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</si>
  <si>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</si>
  <si>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</si>
  <si>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</si>
  <si>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</si>
  <si>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</si>
  <si>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</si>
  <si>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</si>
  <si>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</si>
  <si>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</si>
  <si>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</si>
  <si>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</si>
  <si>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</si>
  <si>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</si>
  <si>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</si>
  <si>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</si>
  <si>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</si>
  <si>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</si>
  <si>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</si>
  <si>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</si>
  <si>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</si>
  <si>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</si>
  <si>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</si>
  <si>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</si>
  <si>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</si>
  <si>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</si>
  <si>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</si>
  <si>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</si>
  <si>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</si>
  <si>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</si>
  <si>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</si>
  <si>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</si>
  <si>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</si>
  <si>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</si>
  <si>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</si>
  <si>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</si>
  <si>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</si>
  <si>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</si>
  <si>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</si>
  <si>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</si>
  <si>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</si>
  <si>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</si>
  <si>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</si>
  <si>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</si>
  <si>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</si>
  <si>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</si>
  <si>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</si>
  <si>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</si>
  <si>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</si>
  <si>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</si>
  <si>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</si>
  <si>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</si>
  <si>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</si>
  <si>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</si>
  <si>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</si>
  <si>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</si>
  <si>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</si>
  <si>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</si>
  <si>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</si>
  <si>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</si>
  <si>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</si>
  <si>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</si>
  <si>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</si>
  <si>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</si>
  <si>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</si>
  <si>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</si>
  <si>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</si>
  <si>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</si>
  <si>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</si>
  <si>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</si>
  <si>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</si>
  <si>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</si>
  <si>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</si>
  <si>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</si>
  <si>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</si>
  <si>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</si>
  <si>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</si>
  <si>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</si>
  <si>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</si>
  <si>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</si>
  <si>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</si>
  <si>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</si>
  <si>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</si>
  <si>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</si>
  <si>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</si>
  <si>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</si>
  <si>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</si>
  <si>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</si>
  <si>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</si>
  <si>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</si>
  <si>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</si>
  <si>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</si>
  <si>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</si>
  <si>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</si>
  <si>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</si>
  <si>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</si>
  <si>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</si>
  <si>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</si>
  <si>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</si>
  <si>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</si>
  <si>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</si>
  <si>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</si>
  <si>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</si>
  <si>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</si>
  <si>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</si>
  <si>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</si>
  <si>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</si>
  <si>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</si>
  <si>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</si>
  <si>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</si>
  <si>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</si>
  <si>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</si>
  <si>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</si>
  <si>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</si>
  <si>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</si>
  <si>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</si>
  <si>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</si>
  <si>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</si>
  <si>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</si>
  <si>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</si>
  <si>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</si>
  <si>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</si>
  <si>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</si>
  <si>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</si>
  <si>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</si>
  <si>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</si>
  <si>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</si>
  <si>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</si>
  <si>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</si>
  <si>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</si>
  <si>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</si>
  <si>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</si>
  <si>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</si>
  <si>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</si>
  <si>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</si>
  <si>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</si>
  <si>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</si>
  <si>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</si>
  <si>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</si>
  <si>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</si>
  <si>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</si>
  <si>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</si>
  <si>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</si>
  <si>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</si>
  <si>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</si>
  <si>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</si>
  <si>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</si>
  <si>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</si>
  <si>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</si>
  <si>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</si>
  <si>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</si>
  <si>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</si>
  <si>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</si>
  <si>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</si>
  <si>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</si>
  <si>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</si>
  <si>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</si>
  <si>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</si>
  <si>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</si>
  <si>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</si>
  <si>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</si>
  <si>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</si>
  <si>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</si>
  <si>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</si>
  <si>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</si>
  <si>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</si>
  <si>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</si>
  <si>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</si>
  <si>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</si>
  <si>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</si>
  <si>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</si>
  <si>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</si>
  <si>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</si>
  <si>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</si>
  <si>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</si>
  <si>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</si>
  <si>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</si>
  <si>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</si>
  <si>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</si>
  <si>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</si>
  <si>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</si>
  <si>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</si>
  <si>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</si>
  <si>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</si>
  <si>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</si>
  <si>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</si>
  <si>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</si>
  <si>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</si>
  <si>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</si>
  <si>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</si>
  <si>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</si>
  <si>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</si>
  <si>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</si>
  <si>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</si>
  <si>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</si>
  <si>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</si>
  <si>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</si>
  <si>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</si>
  <si>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</si>
  <si>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</si>
  <si>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</si>
  <si>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</si>
  <si>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</si>
  <si>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</si>
  <si>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</si>
  <si>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</si>
  <si>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</si>
  <si>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</si>
  <si>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</si>
  <si>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</si>
  <si>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</si>
  <si>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</si>
  <si>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</si>
  <si>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</si>
  <si>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</si>
  <si>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</si>
  <si>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</si>
  <si>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</si>
  <si>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</si>
  <si>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</si>
  <si>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</si>
  <si>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</si>
  <si>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</si>
  <si>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</si>
  <si>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</si>
  <si>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</si>
  <si>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</si>
  <si>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</si>
  <si>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</si>
  <si>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</si>
  <si>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</si>
  <si>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</si>
  <si>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</si>
  <si>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</si>
  <si>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</si>
  <si>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</si>
  <si>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</si>
  <si>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</si>
  <si>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</si>
  <si>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</si>
  <si>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</si>
  <si>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</si>
  <si>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</si>
  <si>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</si>
  <si>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</si>
  <si>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</si>
  <si>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</si>
  <si>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</si>
  <si>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</si>
  <si>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</si>
  <si>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</si>
  <si>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</si>
  <si>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</si>
  <si>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</si>
  <si>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</si>
  <si>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</si>
  <si>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</si>
  <si>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</si>
  <si>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</si>
  <si>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</si>
  <si>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</si>
  <si>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</si>
  <si>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</si>
  <si>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</si>
  <si>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</si>
  <si>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</si>
  <si>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</si>
  <si>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</si>
  <si>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</si>
  <si>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</si>
  <si>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</si>
  <si>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</si>
  <si>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</si>
  <si>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</si>
  <si>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</si>
  <si>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</si>
  <si>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</si>
  <si>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</si>
  <si>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</si>
  <si>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</si>
  <si>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</si>
  <si>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</si>
  <si>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</si>
  <si>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</si>
  <si>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</si>
  <si>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</si>
  <si>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</si>
  <si>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</si>
  <si>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</si>
  <si>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</si>
  <si>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</si>
  <si>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</si>
  <si>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</si>
  <si>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</si>
  <si>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</si>
  <si>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</si>
  <si>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</si>
  <si>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</si>
  <si>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</si>
  <si>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</si>
  <si>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</si>
  <si>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</si>
  <si>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</si>
  <si>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</si>
  <si>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</si>
  <si>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</si>
  <si>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</si>
  <si>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</si>
  <si>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</si>
  <si>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</si>
  <si>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</si>
  <si>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</si>
  <si>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</si>
  <si>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</si>
  <si>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</si>
  <si>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</si>
  <si>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</si>
  <si>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</si>
  <si>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</si>
  <si>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</si>
  <si>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</si>
  <si>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</si>
  <si>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</si>
  <si>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</si>
  <si>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</si>
  <si>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</si>
  <si>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</si>
  <si>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</si>
  <si>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</si>
  <si>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</si>
  <si>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</si>
  <si>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</si>
  <si>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</si>
  <si>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</si>
  <si>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</si>
  <si>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</si>
  <si>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</si>
  <si>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</si>
  <si>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</si>
  <si>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</si>
  <si>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</si>
  <si>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</si>
  <si>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</si>
  <si>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</si>
  <si>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</si>
  <si>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</si>
  <si>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</si>
  <si>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</si>
  <si>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</si>
  <si>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</si>
  <si>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</si>
  <si>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</si>
  <si>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</si>
  <si>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</si>
  <si>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</si>
  <si>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</si>
  <si>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</si>
  <si>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</si>
  <si>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</si>
  <si>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</si>
  <si>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</si>
  <si>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</si>
  <si>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</si>
  <si>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</si>
  <si>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</si>
  <si>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</si>
  <si>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</si>
  <si>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</si>
  <si>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</si>
  <si>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</si>
  <si>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</si>
  <si>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</si>
  <si>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</si>
  <si>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</si>
  <si>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</si>
  <si>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</si>
  <si>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</si>
  <si>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</si>
  <si>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</si>
  <si>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</si>
  <si>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</si>
  <si>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</si>
  <si>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</si>
  <si>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</si>
  <si>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</si>
  <si>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</si>
  <si>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</si>
  <si>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</si>
  <si>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</si>
  <si>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</si>
  <si>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</si>
  <si>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</si>
  <si>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</si>
  <si>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</si>
  <si>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</si>
  <si>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</si>
  <si>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</si>
  <si>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</si>
  <si>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</si>
  <si>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</si>
  <si>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</si>
  <si>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</si>
  <si>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</si>
  <si>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</si>
  <si>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</si>
  <si>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</si>
  <si>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</si>
  <si>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</si>
  <si>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</si>
  <si>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</si>
  <si>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</si>
  <si>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</si>
  <si>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</si>
  <si>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</si>
  <si>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</si>
  <si>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</si>
  <si>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</si>
  <si>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</si>
  <si>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</si>
  <si>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</si>
  <si>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</si>
  <si>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</si>
  <si>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</si>
  <si>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</si>
  <si>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</si>
  <si>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</si>
  <si>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</si>
  <si>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</si>
  <si>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</si>
  <si>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</si>
  <si>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</si>
  <si>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</si>
  <si>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</si>
  <si>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</si>
  <si>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</si>
  <si>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</si>
  <si>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</si>
  <si>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</si>
  <si>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</si>
  <si>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</si>
  <si>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</si>
  <si>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</si>
  <si>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</si>
  <si>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</si>
  <si>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</si>
  <si>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</si>
  <si>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</si>
  <si>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</si>
  <si>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</si>
  <si>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</si>
  <si>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</si>
  <si>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</si>
  <si>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</si>
  <si>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</si>
  <si>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</si>
  <si>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</si>
  <si>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</si>
  <si>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</si>
  <si>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</si>
  <si>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</si>
  <si>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</si>
  <si>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</si>
  <si>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</si>
  <si>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</si>
  <si>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</si>
  <si>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</si>
  <si>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</si>
  <si>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</si>
  <si>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</si>
  <si>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</si>
  <si>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</si>
  <si>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</si>
  <si>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</si>
  <si>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</si>
  <si>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</si>
  <si>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</si>
  <si>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</si>
  <si>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</si>
  <si>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</si>
  <si>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</si>
  <si>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</si>
  <si>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</si>
  <si>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</si>
  <si>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</si>
  <si>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</si>
  <si>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</si>
  <si>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</si>
  <si>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</si>
  <si>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</si>
  <si>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</si>
  <si>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</si>
  <si>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</si>
  <si>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</si>
  <si>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</si>
  <si>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</si>
  <si>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</si>
  <si>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</si>
  <si>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</si>
  <si>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</si>
  <si>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</si>
  <si>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</si>
  <si>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</si>
  <si>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</si>
  <si>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</si>
  <si>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</si>
  <si>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</si>
  <si>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</si>
  <si>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</si>
  <si>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</si>
  <si>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</si>
  <si>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</si>
  <si>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</si>
  <si>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</si>
  <si>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</si>
  <si>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</si>
  <si>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</si>
  <si>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</si>
  <si>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</si>
  <si>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</si>
  <si>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</si>
  <si>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</si>
  <si>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</si>
  <si>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</si>
  <si>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</si>
  <si>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</si>
  <si>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</si>
  <si>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</si>
  <si>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</si>
  <si>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</si>
  <si>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</si>
  <si>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</si>
  <si>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</si>
  <si>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</si>
  <si>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</si>
  <si>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</si>
  <si>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</si>
  <si>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</si>
  <si>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</si>
  <si>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</si>
  <si>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</si>
  <si>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</si>
  <si>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</si>
  <si>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</si>
  <si>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</si>
  <si>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</si>
  <si>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</si>
  <si>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</si>
  <si>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</si>
  <si>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</si>
  <si>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</si>
  <si>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</si>
  <si>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</si>
  <si>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</si>
  <si>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</si>
  <si>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</si>
  <si>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</si>
  <si>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</si>
  <si>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</si>
  <si>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</si>
  <si>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</si>
  <si>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</si>
  <si>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</si>
  <si>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</si>
  <si>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</si>
  <si>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</si>
  <si>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</si>
  <si>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</si>
  <si>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</si>
  <si>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</si>
  <si>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</si>
  <si>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</si>
  <si>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</si>
  <si>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</si>
  <si>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</si>
  <si>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</si>
  <si>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</si>
  <si>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</si>
  <si>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</si>
  <si>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</si>
  <si>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</si>
  <si>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</si>
  <si>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</si>
  <si>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</si>
  <si>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</si>
  <si>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</si>
  <si>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</si>
  <si>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</si>
  <si>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</si>
  <si>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</si>
  <si>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</si>
  <si>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</si>
  <si>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</si>
  <si>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</si>
  <si>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</si>
  <si>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</si>
  <si>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</si>
  <si>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</si>
  <si>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</si>
  <si>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</si>
  <si>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</si>
  <si>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</si>
  <si>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</si>
  <si>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</si>
  <si>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</si>
  <si>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</si>
  <si>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</si>
  <si>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</si>
  <si>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</si>
  <si>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</si>
  <si>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</si>
  <si>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</si>
  <si>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</si>
  <si>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</si>
  <si>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</si>
  <si>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</si>
  <si>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</si>
  <si>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</si>
  <si>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</si>
  <si>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</si>
  <si>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</si>
  <si>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</si>
  <si>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</si>
  <si>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</si>
  <si>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</si>
  <si>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</si>
  <si>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</si>
  <si>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</si>
  <si>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</si>
  <si>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</si>
  <si>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</si>
  <si>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</si>
  <si>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</si>
  <si>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</si>
  <si>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</si>
  <si>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</si>
  <si>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</si>
  <si>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</si>
  <si>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</si>
  <si>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</si>
  <si>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</si>
  <si>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</si>
  <si>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</si>
  <si>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</si>
  <si>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</si>
  <si>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</si>
  <si>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</si>
  <si>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</si>
  <si>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</si>
  <si>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</si>
  <si>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</si>
  <si>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</si>
  <si>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</si>
  <si>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</si>
  <si>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</si>
  <si>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</si>
  <si>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</si>
  <si>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</si>
  <si>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</si>
  <si>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</si>
  <si>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</si>
  <si>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</si>
  <si>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</si>
  <si>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</si>
  <si>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</si>
  <si>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</si>
  <si>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</si>
  <si>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</si>
  <si>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</si>
  <si>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</si>
  <si>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</si>
  <si>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</si>
  <si>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</si>
  <si>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</si>
  <si>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</si>
  <si>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</si>
  <si>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</si>
  <si>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</si>
  <si>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</si>
  <si>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</si>
  <si>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</si>
  <si>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</si>
  <si>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</si>
  <si>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</si>
  <si>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</si>
  <si>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</si>
  <si>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</si>
  <si>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</si>
  <si>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</si>
  <si>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</si>
  <si>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</si>
  <si>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</si>
  <si>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</si>
  <si>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</si>
  <si>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</si>
  <si>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</si>
  <si>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</si>
  <si>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</si>
  <si>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</si>
  <si>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</si>
  <si>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</si>
  <si>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</si>
  <si>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</si>
  <si>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</si>
  <si>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</si>
  <si>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</si>
  <si>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</si>
  <si>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</si>
  <si>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</si>
  <si>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</si>
  <si>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</si>
  <si>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</si>
  <si>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</si>
  <si>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</si>
  <si>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</si>
  <si>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</si>
  <si>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</si>
  <si>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</si>
  <si>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</si>
  <si>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</si>
  <si>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</si>
  <si>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</si>
  <si>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</si>
  <si>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</si>
  <si>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</si>
  <si>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</si>
  <si>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</si>
  <si>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</si>
  <si>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</si>
  <si>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</si>
  <si>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</si>
  <si>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</si>
  <si>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</si>
  <si>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</si>
  <si>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</si>
  <si>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</si>
  <si>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</si>
  <si>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</si>
  <si>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</si>
  <si>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</si>
  <si>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</si>
  <si>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</si>
  <si>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</si>
  <si>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</si>
  <si>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</si>
  <si>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</si>
  <si>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</si>
  <si>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</si>
  <si>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</si>
  <si>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</si>
  <si>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</si>
  <si>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</si>
  <si>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</si>
  <si>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</si>
  <si>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</si>
  <si>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</si>
  <si>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</si>
  <si>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</si>
  <si>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</si>
  <si>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</si>
  <si>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</si>
  <si>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</si>
  <si>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</si>
  <si>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</si>
  <si>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</si>
  <si>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</si>
  <si>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</si>
  <si>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</si>
  <si>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</si>
  <si>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</si>
  <si>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</si>
  <si>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</si>
  <si>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</si>
  <si>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</si>
  <si>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</si>
  <si>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</si>
  <si>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</si>
  <si>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</si>
  <si>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</si>
  <si>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</si>
  <si>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</si>
  <si>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</si>
  <si>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</si>
  <si>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</si>
  <si>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</si>
  <si>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</si>
  <si>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</si>
  <si>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</si>
  <si>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</si>
  <si>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</si>
  <si>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</si>
  <si>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</si>
  <si>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</si>
  <si>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</si>
  <si>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</si>
  <si>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</si>
  <si>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</si>
  <si>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</si>
  <si>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</si>
  <si>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</si>
  <si>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</si>
  <si>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</si>
  <si>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</si>
  <si>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</si>
  <si>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</si>
  <si>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</si>
  <si>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</si>
  <si>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</si>
  <si>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</si>
  <si>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</si>
  <si>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</si>
  <si>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</si>
  <si>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</si>
  <si>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</si>
  <si>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</si>
  <si>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</si>
  <si>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</si>
  <si>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</si>
  <si>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</si>
  <si>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</si>
  <si>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</si>
  <si>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</si>
  <si>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</si>
  <si>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</si>
  <si>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</si>
  <si>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</si>
  <si>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</si>
  <si>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</si>
  <si>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</si>
  <si>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</si>
  <si>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</si>
  <si>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</si>
  <si>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</si>
  <si>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</si>
  <si>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</si>
  <si>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</si>
  <si>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</si>
  <si>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</si>
  <si>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</si>
  <si>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</si>
  <si>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</si>
  <si>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</si>
  <si>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</si>
  <si>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</si>
  <si>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</si>
  <si>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</si>
  <si>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</si>
  <si>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</si>
  <si>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</si>
  <si>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</si>
  <si>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</si>
  <si>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</si>
  <si>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</si>
  <si>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</si>
  <si>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</si>
  <si>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</si>
  <si>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</si>
  <si>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</si>
  <si>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</si>
  <si>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</si>
  <si>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</si>
  <si>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</si>
  <si>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</si>
  <si>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</si>
  <si>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</si>
  <si>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</si>
  <si>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</si>
  <si>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</si>
  <si>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</si>
  <si>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</si>
  <si>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</si>
  <si>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</si>
  <si>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</si>
  <si>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</si>
  <si>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</si>
  <si>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</si>
  <si>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</si>
  <si>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</si>
  <si>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</si>
  <si>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</si>
  <si>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</si>
  <si>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</si>
  <si>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</si>
  <si>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</si>
  <si>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</si>
  <si>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</si>
  <si>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</si>
  <si>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</si>
  <si>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</si>
  <si>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</si>
  <si>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</si>
  <si>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</si>
  <si>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</si>
  <si>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</si>
  <si>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</si>
  <si>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</si>
  <si>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</si>
  <si>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</si>
  <si>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</si>
  <si>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</si>
  <si>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</si>
  <si>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</si>
  <si>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</si>
  <si>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</si>
  <si>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</si>
  <si>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</si>
  <si>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</si>
  <si>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</si>
  <si>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</si>
  <si>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</si>
  <si>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</si>
  <si>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</si>
  <si>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</si>
  <si>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</si>
  <si>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</si>
  <si>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</si>
  <si>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</si>
  <si>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</si>
  <si>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</si>
  <si>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</si>
  <si>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</si>
  <si>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</si>
  <si>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</si>
  <si>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</si>
  <si>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</si>
  <si>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</si>
  <si>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</si>
  <si>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</si>
  <si>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</si>
  <si>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</si>
  <si>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</si>
  <si>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</si>
  <si>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</si>
  <si>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</si>
  <si>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</si>
  <si>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</si>
  <si>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</si>
  <si>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</si>
  <si>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</si>
  <si>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</si>
  <si>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</si>
  <si>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</si>
  <si>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</si>
  <si>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</si>
  <si>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</si>
  <si>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</si>
  <si>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</si>
  <si>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</si>
  <si>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</si>
  <si>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</si>
  <si>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</si>
  <si>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</si>
  <si>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</si>
  <si>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</si>
  <si>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</si>
  <si>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</si>
  <si>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</si>
  <si>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</si>
  <si>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</si>
  <si>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</si>
  <si>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</si>
  <si>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</si>
  <si>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</si>
  <si>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</si>
  <si>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</si>
  <si>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</si>
  <si>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</si>
  <si>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</si>
  <si>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</si>
  <si>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</si>
  <si>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</si>
  <si>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</si>
  <si>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</si>
  <si>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</si>
  <si>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</si>
  <si>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</si>
  <si>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</si>
  <si>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</si>
  <si>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</si>
  <si>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</si>
  <si>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</si>
  <si>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</si>
  <si>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</si>
  <si>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</si>
  <si>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</si>
  <si>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</si>
  <si>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</si>
  <si>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</si>
  <si>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</si>
  <si>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</si>
  <si>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</si>
  <si>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</si>
  <si>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</si>
  <si>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</si>
  <si>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</si>
  <si>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</si>
  <si>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</si>
  <si>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</si>
  <si>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</si>
  <si>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</si>
  <si>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</si>
  <si>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</si>
  <si>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</si>
  <si>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</si>
  <si>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</si>
  <si>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</si>
  <si>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</si>
  <si>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</si>
  <si>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</si>
  <si>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</si>
  <si>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</si>
  <si>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</si>
  <si>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</si>
  <si>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</si>
  <si>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</si>
  <si>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</si>
  <si>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</si>
  <si>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</si>
  <si>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</si>
  <si>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</si>
  <si>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</si>
  <si>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</si>
  <si>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</si>
  <si>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</si>
  <si>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</si>
  <si>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</si>
  <si>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</si>
  <si>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</si>
  <si>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</si>
  <si>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</si>
  <si>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</si>
  <si>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</si>
  <si>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</si>
  <si>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</si>
  <si>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</si>
  <si>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</si>
  <si>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</si>
  <si>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</si>
  <si>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</si>
  <si>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</si>
  <si>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</si>
  <si>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</si>
  <si>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</si>
  <si>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</si>
  <si>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</si>
  <si>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</si>
  <si>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</si>
  <si>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</si>
  <si>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</si>
  <si>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</si>
  <si>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</si>
  <si>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</si>
  <si>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</si>
  <si>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</si>
  <si>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</si>
  <si>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</si>
  <si>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</si>
  <si>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</si>
  <si>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</si>
  <si>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</si>
  <si>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</si>
  <si>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</si>
  <si>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</si>
  <si>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</si>
  <si>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</si>
  <si>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</si>
  <si>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</si>
  <si>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</si>
  <si>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</si>
  <si>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</si>
  <si>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</si>
  <si>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</si>
  <si>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</si>
  <si>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</si>
  <si>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</si>
  <si>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</si>
  <si>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</si>
  <si>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</si>
  <si>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</si>
  <si>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</si>
  <si>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</si>
  <si>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</si>
  <si>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</si>
  <si>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</si>
  <si>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</si>
  <si>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</si>
  <si>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</si>
  <si>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</si>
  <si>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</si>
  <si>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</si>
  <si>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</si>
  <si>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</si>
  <si>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</si>
  <si>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</si>
  <si>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</si>
  <si>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</si>
  <si>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</si>
  <si>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</si>
  <si>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</si>
  <si>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</si>
  <si>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</si>
  <si>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</si>
  <si>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</si>
  <si>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</si>
  <si>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</si>
  <si>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</si>
  <si>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</si>
  <si>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</si>
  <si>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</si>
  <si>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</si>
  <si>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</si>
  <si>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</si>
  <si>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</si>
  <si>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</si>
  <si>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</si>
  <si>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</si>
  <si>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</si>
  <si>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</si>
  <si>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</si>
  <si>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</si>
  <si>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</si>
  <si>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</si>
  <si>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</si>
  <si>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</si>
  <si>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</si>
  <si>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</si>
  <si>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</si>
  <si>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</si>
  <si>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</si>
  <si>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</si>
  <si>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</si>
  <si>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</si>
  <si>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</si>
  <si>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</si>
  <si>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</si>
  <si>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</si>
  <si>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</si>
  <si>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</si>
  <si>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</si>
  <si>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</si>
  <si>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</si>
  <si>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</si>
  <si>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</si>
  <si>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</si>
  <si>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</si>
  <si>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</si>
  <si>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</si>
  <si>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</si>
  <si>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</si>
  <si>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</si>
  <si>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</si>
  <si>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</si>
  <si>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</si>
  <si>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</si>
  <si>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</si>
  <si>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</si>
  <si>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</si>
  <si>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</si>
  <si>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</si>
  <si>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</si>
  <si>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</si>
  <si>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</si>
  <si>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</si>
  <si>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</si>
  <si>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</si>
  <si>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</si>
  <si>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</si>
  <si>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</si>
  <si>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</si>
  <si>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</si>
  <si>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</si>
  <si>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</si>
  <si>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</si>
  <si>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</si>
  <si>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</si>
  <si>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</si>
  <si>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</si>
  <si>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</si>
  <si>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</si>
  <si>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</si>
  <si>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</si>
  <si>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</si>
  <si>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</si>
  <si>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</si>
  <si>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</si>
  <si>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</si>
  <si>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</si>
  <si>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</si>
  <si>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</si>
  <si>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</si>
  <si>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</si>
  <si>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</si>
  <si>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</si>
  <si>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</si>
  <si>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</si>
  <si>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</si>
  <si>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</si>
  <si>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</si>
  <si>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</si>
  <si>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</si>
  <si>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</si>
  <si>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</si>
  <si>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</si>
  <si>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</si>
  <si>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</si>
  <si>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</si>
  <si>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</si>
  <si>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</si>
  <si>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</si>
  <si>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</si>
  <si>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</si>
  <si>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</si>
  <si>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</si>
  <si>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</si>
  <si>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</si>
  <si>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</si>
  <si>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</si>
  <si>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</si>
  <si>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</si>
  <si>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</si>
  <si>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</si>
  <si>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</si>
  <si>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</si>
  <si>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</si>
  <si>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</si>
  <si>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</si>
  <si>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</si>
  <si>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</si>
  <si>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</si>
  <si>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</si>
  <si>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</si>
  <si>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</si>
  <si>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</si>
  <si>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</si>
  <si>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</si>
  <si>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</si>
  <si>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</si>
  <si>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</si>
  <si>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</si>
  <si>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</si>
  <si>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</si>
  <si>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</si>
  <si>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</si>
  <si>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</si>
  <si>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</si>
  <si>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</si>
  <si>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</si>
  <si>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</si>
  <si>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</si>
  <si>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</si>
  <si>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</si>
  <si>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</si>
  <si>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</si>
  <si>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</si>
  <si>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</si>
  <si>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</si>
  <si>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</si>
  <si>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</si>
  <si>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</si>
  <si>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</si>
  <si>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</si>
  <si>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</si>
  <si>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</si>
  <si>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</si>
  <si>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</si>
  <si>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</si>
  <si>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</si>
  <si>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</si>
  <si>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</si>
  <si>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</si>
  <si>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</si>
  <si>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</si>
  <si>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</si>
  <si>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</si>
  <si>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</si>
  <si>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</si>
  <si>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</si>
  <si>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</si>
  <si>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</si>
  <si>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</si>
  <si>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</si>
  <si>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</si>
  <si>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</si>
  <si>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</si>
  <si>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</si>
  <si>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</si>
  <si>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</si>
  <si>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</si>
  <si>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</si>
  <si>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</si>
  <si>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</si>
  <si>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</si>
  <si>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</si>
  <si>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</si>
  <si>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</si>
  <si>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</si>
  <si>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</si>
  <si>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</si>
  <si>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</si>
  <si>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</si>
  <si>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</si>
  <si>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</si>
  <si>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</si>
  <si>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</si>
  <si>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</si>
  <si>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</si>
  <si>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</si>
  <si>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</si>
  <si>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</si>
  <si>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</si>
  <si>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</si>
  <si>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</si>
  <si>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</si>
  <si>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</si>
  <si>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</si>
  <si>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</si>
  <si>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</si>
  <si>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</si>
  <si>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</si>
  <si>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</si>
  <si>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</si>
  <si>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</si>
  <si>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</si>
  <si>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</si>
  <si>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</si>
  <si>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</si>
  <si>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</si>
  <si>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</si>
  <si>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</si>
  <si>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</si>
  <si>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</si>
  <si>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</si>
  <si>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</si>
  <si>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</si>
  <si>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</si>
  <si>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</si>
  <si>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</si>
  <si>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</si>
  <si>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</si>
  <si>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</si>
  <si>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</si>
  <si>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</si>
  <si>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</si>
  <si>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</si>
  <si>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</si>
  <si>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</si>
  <si>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</si>
  <si>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</si>
  <si>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</si>
  <si>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</si>
  <si>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</si>
  <si>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</si>
  <si>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</si>
  <si>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</si>
  <si>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</si>
  <si>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</si>
  <si>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</si>
  <si>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</si>
  <si>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</si>
  <si>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</si>
  <si>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</si>
  <si>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</si>
  <si>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</si>
  <si>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</si>
  <si>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</si>
  <si>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</si>
  <si>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</si>
  <si>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</si>
  <si>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</si>
  <si>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</si>
  <si>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</si>
  <si>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</si>
  <si>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</si>
  <si>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</si>
  <si>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</si>
  <si>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</si>
  <si>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</si>
  <si>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</si>
  <si>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</si>
  <si>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</si>
  <si>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</si>
  <si>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</si>
  <si>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</si>
  <si>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</si>
  <si>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</si>
  <si>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</si>
  <si>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</si>
  <si>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ŠEĆERANA-ŠEĆERANA</t>
  </si>
  <si>
    <t>UL.ŽRTAVA DOMOVINSKOG RATA 27.</t>
  </si>
  <si>
    <t>MARIJA HAFNER</t>
  </si>
  <si>
    <t>031725004</t>
  </si>
  <si>
    <t>031725384</t>
  </si>
  <si>
    <t>skola@os-secerana.skole.hr</t>
  </si>
  <si>
    <t>ĐURĐICA PETROVIĆ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</si>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</sst>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7317337</v>
      </c>
      <c r="D2" s="63">
        <f>PRRAS!E12</f>
        <v>7706524</v>
      </c>
      <c r="E2" s="63"/>
      <c r="F2" s="63"/>
      <c r="G2" s="64">
        <f t="shared" ref="G2:G65" si="0">(B2/1000)*(C2*1+D2*2)</f>
        <v>22730.385000000002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21300</v>
      </c>
      <c r="L10" s="50">
        <f>INT(VALUE(RefStr!B6))</f>
        <v>21300</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03357368</v>
      </c>
      <c r="L11" s="50">
        <f>INT(VALUE(RefStr!B8))</f>
        <v>3357368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ŠEĆERANA-ŠEĆERANA</v>
      </c>
      <c r="L12" s="50">
        <f>LEN(Skriveni!K12)</f>
        <v>20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31300</v>
      </c>
      <c r="L13" s="50">
        <f>INT(VALUE(RefStr!B12))</f>
        <v>31300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BELI MANASTIR</v>
      </c>
      <c r="L14" s="50">
        <f>LEN(Skriveni!K14)</f>
        <v>13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UL.ŽRTAVA DOMOVINSKOG RATA 27.</v>
      </c>
      <c r="L15" s="50">
        <f>LEN(Skriveni!K15)</f>
        <v>30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013</v>
      </c>
      <c r="L19" s="50">
        <f>INT(VALUE(RefStr!B22))</f>
        <v>13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70655877361</v>
      </c>
      <c r="L21" s="50">
        <f>INT(VALUE(RefStr!K14))</f>
        <v>70655877361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HAFNER</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031725004</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031725384</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skola@os-secerana.skole.hr</v>
      </c>
      <c r="L25" s="50">
        <f>LEN(RefStr!H29)</f>
        <v>26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skola@os-secerana.skole.hr</v>
      </c>
      <c r="L26" s="50">
        <f>LEN(RefStr!H31)</f>
        <v>26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ĐURĐICA PETROVIĆ</v>
      </c>
      <c r="L27" s="50">
        <f>LEN(RefStr!H33)</f>
        <v>16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135.984.485,11</v>
      </c>
      <c r="L28" s="50">
        <f>SUM(G2:G1561)</f>
        <v>135984485.11100003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111876524.81300001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13399813.936000001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10704530.814000001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3615.5479999999998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6070443</v>
      </c>
      <c r="D46" s="58">
        <f>PRRAS!E56</f>
        <v>6317950</v>
      </c>
      <c r="E46" s="58">
        <v>0</v>
      </c>
      <c r="F46" s="58">
        <v>0</v>
      </c>
      <c r="G46" s="59">
        <f t="shared" si="0"/>
        <v>841785.43499999994</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6070443</v>
      </c>
      <c r="D64" s="58">
        <f>PRRAS!E74</f>
        <v>6317950</v>
      </c>
      <c r="E64" s="58">
        <v>0</v>
      </c>
      <c r="F64" s="58">
        <v>0</v>
      </c>
      <c r="G64" s="59">
        <f t="shared" si="0"/>
        <v>1178499.6089999999</v>
      </c>
      <c r="H64" s="59">
        <f t="shared" si="1"/>
        <v>0</v>
      </c>
      <c r="I64" s="60">
        <v>0</v>
      </c>
    </row>
    <row r="65" spans="1:9" x14ac:dyDescent="0.2">
      <c r="A65" s="57">
        <v>151</v>
      </c>
      <c r="B65" s="58">
        <f>PRRAS!C75</f>
        <v>64</v>
      </c>
      <c r="C65" s="58">
        <f>PRRAS!D75</f>
        <v>6070443</v>
      </c>
      <c r="D65" s="58">
        <f>PRRAS!E75</f>
        <v>6317950</v>
      </c>
      <c r="E65" s="58">
        <v>0</v>
      </c>
      <c r="F65" s="58">
        <v>0</v>
      </c>
      <c r="G65" s="59">
        <f t="shared" si="0"/>
        <v>1197205.952</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186879</v>
      </c>
      <c r="D106" s="58">
        <f>PRRAS!E116</f>
        <v>254160</v>
      </c>
      <c r="E106" s="58">
        <v>0</v>
      </c>
      <c r="F106" s="58">
        <v>0</v>
      </c>
      <c r="G106" s="59">
        <f t="shared" si="2"/>
        <v>72995.895000000004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186879</v>
      </c>
      <c r="D112" s="58">
        <f>PRRAS!E122</f>
        <v>254160</v>
      </c>
      <c r="E112" s="58">
        <v>0</v>
      </c>
      <c r="F112" s="58">
        <v>0</v>
      </c>
      <c r="G112" s="59">
        <f t="shared" si="2"/>
        <v>77167.089000000007</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186879</v>
      </c>
      <c r="D117" s="58">
        <f>PRRAS!E127</f>
        <v>254160</v>
      </c>
      <c r="E117" s="58">
        <v>0</v>
      </c>
      <c r="F117" s="58">
        <v>0</v>
      </c>
      <c r="G117" s="59">
        <f t="shared" si="2"/>
        <v>80643.084000000003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1060015</v>
      </c>
      <c r="D131" s="58">
        <f>PRRAS!E141</f>
        <v>1134414</v>
      </c>
      <c r="E131" s="58">
        <v>0</v>
      </c>
      <c r="F131" s="58">
        <v>0</v>
      </c>
      <c r="G131" s="59">
        <f t="shared" si="4"/>
        <v>432749.59</v>
      </c>
      <c r="H131" s="59">
        <f t="shared" si="5"/>
        <v>0</v>
      </c>
      <c r="I131" s="60">
        <v>0</v>
      </c>
    </row>
    <row r="132" spans="1:9" x14ac:dyDescent="0.2">
      <c r="A132" s="57">
        <v>151</v>
      </c>
      <c r="B132" s="58">
        <f>PRRAS!C142</f>
        <v>131</v>
      </c>
      <c r="C132" s="58">
        <f>PRRAS!D142</f>
        <v>1060015</v>
      </c>
      <c r="D132" s="58">
        <f>PRRAS!E142</f>
        <v>1134414</v>
      </c>
      <c r="E132" s="58">
        <v>0</v>
      </c>
      <c r="F132" s="58">
        <v>0</v>
      </c>
      <c r="G132" s="59">
        <f t="shared" si="4"/>
        <v>436078.43300000002</v>
      </c>
      <c r="H132" s="59">
        <f t="shared" si="5"/>
        <v>0</v>
      </c>
      <c r="I132" s="60">
        <v>0</v>
      </c>
    </row>
    <row r="133" spans="1:9" x14ac:dyDescent="0.2">
      <c r="A133" s="57">
        <v>151</v>
      </c>
      <c r="B133" s="58">
        <f>PRRAS!C143</f>
        <v>132</v>
      </c>
      <c r="C133" s="58">
        <f>PRRAS!D143</f>
        <v>1060015</v>
      </c>
      <c r="D133" s="58">
        <f>PRRAS!E143</f>
        <v>1134414</v>
      </c>
      <c r="E133" s="58">
        <v>0</v>
      </c>
      <c r="F133" s="58">
        <v>0</v>
      </c>
      <c r="G133" s="59">
        <f t="shared" si="4"/>
        <v>439407.27600000001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7346787</v>
      </c>
      <c r="D149" s="58">
        <f>PRRAS!E159</f>
        <v>7718092</v>
      </c>
      <c r="E149" s="58">
        <v>0</v>
      </c>
      <c r="F149" s="58">
        <v>0</v>
      </c>
      <c r="G149" s="59">
        <f t="shared" si="4"/>
        <v>3371879.7079999996</v>
      </c>
      <c r="H149" s="59">
        <f t="shared" si="5"/>
        <v>0</v>
      </c>
      <c r="I149" s="60">
        <v>0</v>
      </c>
    </row>
    <row r="150" spans="1:9" x14ac:dyDescent="0.2">
      <c r="A150" s="57">
        <v>151</v>
      </c>
      <c r="B150" s="58">
        <f>PRRAS!C160</f>
        <v>149</v>
      </c>
      <c r="C150" s="58">
        <f>PRRAS!D160</f>
        <v>5822399</v>
      </c>
      <c r="D150" s="58">
        <f>PRRAS!E160</f>
        <v>5997582</v>
      </c>
      <c r="E150" s="58">
        <v>0</v>
      </c>
      <c r="F150" s="58">
        <v>0</v>
      </c>
      <c r="G150" s="59">
        <f t="shared" si="4"/>
        <v>2654816.8870000001</v>
      </c>
      <c r="H150" s="59">
        <f t="shared" si="5"/>
        <v>0</v>
      </c>
      <c r="I150" s="60">
        <v>0</v>
      </c>
    </row>
    <row r="151" spans="1:9" x14ac:dyDescent="0.2">
      <c r="A151" s="57">
        <v>151</v>
      </c>
      <c r="B151" s="58">
        <f>PRRAS!C161</f>
        <v>150</v>
      </c>
      <c r="C151" s="58">
        <f>PRRAS!D161</f>
        <v>4780720</v>
      </c>
      <c r="D151" s="58">
        <f>PRRAS!E161</f>
        <v>4941740</v>
      </c>
      <c r="E151" s="58">
        <v>0</v>
      </c>
      <c r="F151" s="58">
        <v>0</v>
      </c>
      <c r="G151" s="59">
        <f t="shared" si="4"/>
        <v>2199630</v>
      </c>
      <c r="H151" s="59">
        <f t="shared" si="5"/>
        <v>0</v>
      </c>
      <c r="I151" s="60">
        <v>0</v>
      </c>
    </row>
    <row r="152" spans="1:9" x14ac:dyDescent="0.2">
      <c r="A152" s="57">
        <v>151</v>
      </c>
      <c r="B152" s="58">
        <f>PRRAS!C162</f>
        <v>151</v>
      </c>
      <c r="C152" s="58">
        <f>PRRAS!D162</f>
        <v>4758286</v>
      </c>
      <c r="D152" s="58">
        <f>PRRAS!E162</f>
        <v>4940678</v>
      </c>
      <c r="E152" s="58">
        <v>0</v>
      </c>
      <c r="F152" s="58">
        <v>0</v>
      </c>
      <c r="G152" s="59">
        <f t="shared" si="4"/>
        <v>2210585.9419999998</v>
      </c>
      <c r="H152" s="59">
        <f t="shared" si="5"/>
        <v>0</v>
      </c>
      <c r="I152" s="60">
        <v>0</v>
      </c>
    </row>
    <row r="153" spans="1:9" x14ac:dyDescent="0.2">
      <c r="A153" s="57">
        <v>151</v>
      </c>
      <c r="B153" s="58">
        <f>PRRAS!C163</f>
        <v>152</v>
      </c>
      <c r="C153" s="58">
        <f>PRRAS!D163</f>
        <v>22434</v>
      </c>
      <c r="D153" s="58">
        <f>PRRAS!E163</f>
        <v>1062</v>
      </c>
      <c r="E153" s="58">
        <v>0</v>
      </c>
      <c r="F153" s="58">
        <v>0</v>
      </c>
      <c r="G153" s="59">
        <f t="shared" si="4"/>
        <v>3732.8159999999998</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217963</v>
      </c>
      <c r="D156" s="58">
        <f>PRRAS!E166</f>
        <v>206228</v>
      </c>
      <c r="E156" s="58">
        <v>0</v>
      </c>
      <c r="F156" s="58">
        <v>0</v>
      </c>
      <c r="G156" s="59">
        <f t="shared" si="4"/>
        <v>97714.944999999992</v>
      </c>
      <c r="H156" s="59">
        <f t="shared" si="5"/>
        <v>0</v>
      </c>
      <c r="I156" s="60">
        <v>0</v>
      </c>
    </row>
    <row r="157" spans="1:9" x14ac:dyDescent="0.2">
      <c r="A157" s="57">
        <v>151</v>
      </c>
      <c r="B157" s="58">
        <f>PRRAS!C167</f>
        <v>156</v>
      </c>
      <c r="C157" s="58">
        <f>PRRAS!D167</f>
        <v>823716</v>
      </c>
      <c r="D157" s="58">
        <f>PRRAS!E167</f>
        <v>849614</v>
      </c>
      <c r="E157" s="58">
        <v>0</v>
      </c>
      <c r="F157" s="58">
        <v>0</v>
      </c>
      <c r="G157" s="59">
        <f t="shared" si="4"/>
        <v>393579.26400000002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741483</v>
      </c>
      <c r="D159" s="58">
        <f>PRRAS!E169</f>
        <v>765641</v>
      </c>
      <c r="E159" s="58">
        <v>0</v>
      </c>
      <c r="F159" s="58">
        <v>0</v>
      </c>
      <c r="G159" s="59">
        <f t="shared" si="4"/>
        <v>359096.87</v>
      </c>
      <c r="H159" s="59">
        <f t="shared" si="5"/>
        <v>0</v>
      </c>
      <c r="I159" s="60">
        <v>0</v>
      </c>
    </row>
    <row r="160" spans="1:9" x14ac:dyDescent="0.2">
      <c r="A160" s="57">
        <v>151</v>
      </c>
      <c r="B160" s="58">
        <f>PRRAS!C170</f>
        <v>159</v>
      </c>
      <c r="C160" s="58">
        <f>PRRAS!D170</f>
        <v>82233</v>
      </c>
      <c r="D160" s="58">
        <f>PRRAS!E170</f>
        <v>83973</v>
      </c>
      <c r="E160" s="58">
        <v>0</v>
      </c>
      <c r="F160" s="58">
        <v>0</v>
      </c>
      <c r="G160" s="59">
        <f t="shared" si="4"/>
        <v>39778.461000000003</v>
      </c>
      <c r="H160" s="59">
        <f t="shared" si="5"/>
        <v>0</v>
      </c>
      <c r="I160" s="60">
        <v>0</v>
      </c>
    </row>
    <row r="161" spans="1:9" x14ac:dyDescent="0.2">
      <c r="A161" s="57">
        <v>151</v>
      </c>
      <c r="B161" s="58">
        <f>PRRAS!C171</f>
        <v>160</v>
      </c>
      <c r="C161" s="58">
        <f>PRRAS!D171</f>
        <v>1519558</v>
      </c>
      <c r="D161" s="58">
        <f>PRRAS!E171</f>
        <v>1717175</v>
      </c>
      <c r="E161" s="58">
        <v>0</v>
      </c>
      <c r="F161" s="58">
        <v>0</v>
      </c>
      <c r="G161" s="59">
        <f t="shared" si="4"/>
        <v>792625.28</v>
      </c>
      <c r="H161" s="59">
        <f t="shared" si="5"/>
        <v>0</v>
      </c>
      <c r="I161" s="60">
        <v>0</v>
      </c>
    </row>
    <row r="162" spans="1:9" x14ac:dyDescent="0.2">
      <c r="A162" s="57">
        <v>151</v>
      </c>
      <c r="B162" s="58">
        <f>PRRAS!C172</f>
        <v>161</v>
      </c>
      <c r="C162" s="58">
        <f>PRRAS!D172</f>
        <v>307981</v>
      </c>
      <c r="D162" s="58">
        <f>PRRAS!E172</f>
        <v>362019</v>
      </c>
      <c r="E162" s="58">
        <v>0</v>
      </c>
      <c r="F162" s="58">
        <v>0</v>
      </c>
      <c r="G162" s="59">
        <f t="shared" si="4"/>
        <v>166155.05900000001</v>
      </c>
      <c r="H162" s="59">
        <f t="shared" si="5"/>
        <v>0</v>
      </c>
      <c r="I162" s="60">
        <v>0</v>
      </c>
    </row>
    <row r="163" spans="1:9" x14ac:dyDescent="0.2">
      <c r="A163" s="57">
        <v>151</v>
      </c>
      <c r="B163" s="58">
        <f>PRRAS!C173</f>
        <v>162</v>
      </c>
      <c r="C163" s="58">
        <f>PRRAS!D173</f>
        <v>15950</v>
      </c>
      <c r="D163" s="58">
        <f>PRRAS!E173</f>
        <v>21764</v>
      </c>
      <c r="E163" s="58">
        <v>0</v>
      </c>
      <c r="F163" s="58">
        <v>0</v>
      </c>
      <c r="G163" s="59">
        <f t="shared" si="4"/>
        <v>9635.4359999999997</v>
      </c>
      <c r="H163" s="59">
        <f t="shared" si="5"/>
        <v>0</v>
      </c>
      <c r="I163" s="60">
        <v>0</v>
      </c>
    </row>
    <row r="164" spans="1:9" x14ac:dyDescent="0.2">
      <c r="A164" s="57">
        <v>151</v>
      </c>
      <c r="B164" s="58">
        <f>PRRAS!C174</f>
        <v>163</v>
      </c>
      <c r="C164" s="58">
        <f>PRRAS!D174</f>
        <v>253775</v>
      </c>
      <c r="D164" s="58">
        <f>PRRAS!E174</f>
        <v>297671</v>
      </c>
      <c r="E164" s="58">
        <v>0</v>
      </c>
      <c r="F164" s="58">
        <v>0</v>
      </c>
      <c r="G164" s="59">
        <f t="shared" si="4"/>
        <v>138406.071</v>
      </c>
      <c r="H164" s="59">
        <f t="shared" si="5"/>
        <v>0</v>
      </c>
      <c r="I164" s="60">
        <v>0</v>
      </c>
    </row>
    <row r="165" spans="1:9" x14ac:dyDescent="0.2">
      <c r="A165" s="57">
        <v>151</v>
      </c>
      <c r="B165" s="58">
        <f>PRRAS!C175</f>
        <v>164</v>
      </c>
      <c r="C165" s="58">
        <f>PRRAS!D175</f>
        <v>7620</v>
      </c>
      <c r="D165" s="58">
        <f>PRRAS!E175</f>
        <v>2681</v>
      </c>
      <c r="E165" s="58">
        <v>0</v>
      </c>
      <c r="F165" s="58">
        <v>0</v>
      </c>
      <c r="G165" s="59">
        <f t="shared" si="4"/>
        <v>2129.0480000000002</v>
      </c>
      <c r="H165" s="59">
        <f t="shared" si="5"/>
        <v>0</v>
      </c>
      <c r="I165" s="60">
        <v>0</v>
      </c>
    </row>
    <row r="166" spans="1:9" x14ac:dyDescent="0.2">
      <c r="A166" s="57">
        <v>151</v>
      </c>
      <c r="B166" s="58">
        <f>PRRAS!C176</f>
        <v>165</v>
      </c>
      <c r="C166" s="58">
        <f>PRRAS!D176</f>
        <v>30636</v>
      </c>
      <c r="D166" s="58">
        <f>PRRAS!E176</f>
        <v>39903</v>
      </c>
      <c r="E166" s="58">
        <v>0</v>
      </c>
      <c r="F166" s="58">
        <v>0</v>
      </c>
      <c r="G166" s="59">
        <f t="shared" si="4"/>
        <v>18222.93</v>
      </c>
      <c r="H166" s="59">
        <f t="shared" si="5"/>
        <v>0</v>
      </c>
      <c r="I166" s="60">
        <v>0</v>
      </c>
    </row>
    <row r="167" spans="1:9" x14ac:dyDescent="0.2">
      <c r="A167" s="57">
        <v>151</v>
      </c>
      <c r="B167" s="58">
        <f>PRRAS!C177</f>
        <v>166</v>
      </c>
      <c r="C167" s="58">
        <f>PRRAS!D177</f>
        <v>676597</v>
      </c>
      <c r="D167" s="58">
        <f>PRRAS!E177</f>
        <v>727853</v>
      </c>
      <c r="E167" s="58">
        <v>0</v>
      </c>
      <c r="F167" s="58">
        <v>0</v>
      </c>
      <c r="G167" s="59">
        <f t="shared" si="4"/>
        <v>353962.29800000001</v>
      </c>
      <c r="H167" s="59">
        <f t="shared" si="5"/>
        <v>0</v>
      </c>
      <c r="I167" s="60">
        <v>0</v>
      </c>
    </row>
    <row r="168" spans="1:9" x14ac:dyDescent="0.2">
      <c r="A168" s="57">
        <v>151</v>
      </c>
      <c r="B168" s="58">
        <f>PRRAS!C178</f>
        <v>167</v>
      </c>
      <c r="C168" s="58">
        <f>PRRAS!D178</f>
        <v>71843</v>
      </c>
      <c r="D168" s="58">
        <f>PRRAS!E178</f>
        <v>99493</v>
      </c>
      <c r="E168" s="58">
        <v>0</v>
      </c>
      <c r="F168" s="58">
        <v>0</v>
      </c>
      <c r="G168" s="59">
        <f t="shared" si="4"/>
        <v>45228.442999999999</v>
      </c>
      <c r="H168" s="59">
        <f t="shared" si="5"/>
        <v>0</v>
      </c>
      <c r="I168" s="60">
        <v>0</v>
      </c>
    </row>
    <row r="169" spans="1:9" x14ac:dyDescent="0.2">
      <c r="A169" s="57">
        <v>151</v>
      </c>
      <c r="B169" s="58">
        <f>PRRAS!C179</f>
        <v>168</v>
      </c>
      <c r="C169" s="58">
        <f>PRRAS!D179</f>
        <v>156021</v>
      </c>
      <c r="D169" s="58">
        <f>PRRAS!E179</f>
        <v>289495</v>
      </c>
      <c r="E169" s="58">
        <v>0</v>
      </c>
      <c r="F169" s="58">
        <v>0</v>
      </c>
      <c r="G169" s="59">
        <f t="shared" si="4"/>
        <v>123481.84800000001</v>
      </c>
      <c r="H169" s="59">
        <f t="shared" si="5"/>
        <v>0</v>
      </c>
      <c r="I169" s="60">
        <v>0</v>
      </c>
    </row>
    <row r="170" spans="1:9" x14ac:dyDescent="0.2">
      <c r="A170" s="57">
        <v>151</v>
      </c>
      <c r="B170" s="58">
        <f>PRRAS!C180</f>
        <v>169</v>
      </c>
      <c r="C170" s="58">
        <f>PRRAS!D180</f>
        <v>401821</v>
      </c>
      <c r="D170" s="58">
        <f>PRRAS!E180</f>
        <v>289495</v>
      </c>
      <c r="E170" s="58">
        <v>0</v>
      </c>
      <c r="F170" s="58">
        <v>0</v>
      </c>
      <c r="G170" s="59">
        <f t="shared" si="4"/>
        <v>165757.05900000001</v>
      </c>
      <c r="H170" s="59">
        <f t="shared" si="5"/>
        <v>0</v>
      </c>
      <c r="I170" s="60">
        <v>0</v>
      </c>
    </row>
    <row r="171" spans="1:9" x14ac:dyDescent="0.2">
      <c r="A171" s="57">
        <v>151</v>
      </c>
      <c r="B171" s="58">
        <f>PRRAS!C181</f>
        <v>170</v>
      </c>
      <c r="C171" s="58">
        <f>PRRAS!D181</f>
        <v>29034</v>
      </c>
      <c r="D171" s="58">
        <f>PRRAS!E181</f>
        <v>27598</v>
      </c>
      <c r="E171" s="58">
        <v>0</v>
      </c>
      <c r="F171" s="58">
        <v>0</v>
      </c>
      <c r="G171" s="59">
        <f t="shared" si="4"/>
        <v>14319.1</v>
      </c>
      <c r="H171" s="59">
        <f t="shared" si="5"/>
        <v>0</v>
      </c>
      <c r="I171" s="60">
        <v>0</v>
      </c>
    </row>
    <row r="172" spans="1:9" x14ac:dyDescent="0.2">
      <c r="A172" s="57">
        <v>151</v>
      </c>
      <c r="B172" s="58">
        <f>PRRAS!C182</f>
        <v>171</v>
      </c>
      <c r="C172" s="58">
        <f>PRRAS!D182</f>
        <v>12878</v>
      </c>
      <c r="D172" s="58">
        <f>PRRAS!E182</f>
        <v>21772</v>
      </c>
      <c r="E172" s="58">
        <v>0</v>
      </c>
      <c r="F172" s="58">
        <v>0</v>
      </c>
      <c r="G172" s="59">
        <f t="shared" si="4"/>
        <v>9648.1620000000003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5000</v>
      </c>
      <c r="D174" s="58">
        <f>PRRAS!E184</f>
        <v>0</v>
      </c>
      <c r="E174" s="58">
        <v>0</v>
      </c>
      <c r="F174" s="58">
        <v>0</v>
      </c>
      <c r="G174" s="59">
        <f t="shared" si="4"/>
        <v>864.99999999999989</v>
      </c>
      <c r="H174" s="59">
        <f t="shared" si="5"/>
        <v>0</v>
      </c>
      <c r="I174" s="60">
        <v>0</v>
      </c>
    </row>
    <row r="175" spans="1:9" x14ac:dyDescent="0.2">
      <c r="A175" s="57">
        <v>151</v>
      </c>
      <c r="B175" s="58">
        <f>PRRAS!C185</f>
        <v>174</v>
      </c>
      <c r="C175" s="58">
        <f>PRRAS!D185</f>
        <v>486783</v>
      </c>
      <c r="D175" s="58">
        <f>PRRAS!E185</f>
        <v>585010</v>
      </c>
      <c r="E175" s="58">
        <v>0</v>
      </c>
      <c r="F175" s="58">
        <v>0</v>
      </c>
      <c r="G175" s="59">
        <f t="shared" si="4"/>
        <v>288283.72200000001</v>
      </c>
      <c r="H175" s="59">
        <f t="shared" si="5"/>
        <v>0</v>
      </c>
      <c r="I175" s="60">
        <v>0</v>
      </c>
    </row>
    <row r="176" spans="1:9" x14ac:dyDescent="0.2">
      <c r="A176" s="57">
        <v>151</v>
      </c>
      <c r="B176" s="58">
        <f>PRRAS!C186</f>
        <v>175</v>
      </c>
      <c r="C176" s="58">
        <f>PRRAS!D186</f>
        <v>42860</v>
      </c>
      <c r="D176" s="58">
        <f>PRRAS!E186</f>
        <v>33609</v>
      </c>
      <c r="E176" s="58">
        <v>0</v>
      </c>
      <c r="F176" s="58">
        <v>0</v>
      </c>
      <c r="G176" s="59">
        <f t="shared" si="4"/>
        <v>19263.649999999998</v>
      </c>
      <c r="H176" s="59">
        <f t="shared" si="5"/>
        <v>0</v>
      </c>
      <c r="I176" s="60">
        <v>0</v>
      </c>
    </row>
    <row r="177" spans="1:9" x14ac:dyDescent="0.2">
      <c r="A177" s="57">
        <v>151</v>
      </c>
      <c r="B177" s="58">
        <f>PRRAS!C187</f>
        <v>176</v>
      </c>
      <c r="C177" s="58">
        <f>PRRAS!D187</f>
        <v>352104</v>
      </c>
      <c r="D177" s="58">
        <f>PRRAS!E187</f>
        <v>466746</v>
      </c>
      <c r="E177" s="58">
        <v>0</v>
      </c>
      <c r="F177" s="58">
        <v>0</v>
      </c>
      <c r="G177" s="59">
        <f t="shared" si="4"/>
        <v>226264.89599999998</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60330</v>
      </c>
      <c r="D179" s="58">
        <f>PRRAS!E189</f>
        <v>53755</v>
      </c>
      <c r="E179" s="58">
        <v>0</v>
      </c>
      <c r="F179" s="58">
        <v>0</v>
      </c>
      <c r="G179" s="59">
        <f t="shared" si="4"/>
        <v>29875.519999999997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24081</v>
      </c>
      <c r="D181" s="58">
        <f>PRRAS!E191</f>
        <v>16625</v>
      </c>
      <c r="E181" s="58">
        <v>0</v>
      </c>
      <c r="F181" s="58">
        <v>0</v>
      </c>
      <c r="G181" s="59">
        <f t="shared" si="4"/>
        <v>10319.58</v>
      </c>
      <c r="H181" s="59">
        <f t="shared" si="5"/>
        <v>0</v>
      </c>
      <c r="I181" s="60">
        <v>0</v>
      </c>
    </row>
    <row r="182" spans="1:9" x14ac:dyDescent="0.2">
      <c r="A182" s="57">
        <v>151</v>
      </c>
      <c r="B182" s="58">
        <f>PRRAS!C192</f>
        <v>181</v>
      </c>
      <c r="C182" s="58">
        <f>PRRAS!D192</f>
        <v>0</v>
      </c>
      <c r="D182" s="58">
        <f>PRRAS!E192</f>
        <v>5000</v>
      </c>
      <c r="E182" s="58">
        <v>0</v>
      </c>
      <c r="F182" s="58">
        <v>0</v>
      </c>
      <c r="G182" s="59">
        <f t="shared" si="4"/>
        <v>1810</v>
      </c>
      <c r="H182" s="59">
        <f t="shared" si="5"/>
        <v>0</v>
      </c>
      <c r="I182" s="60">
        <v>0</v>
      </c>
    </row>
    <row r="183" spans="1:9" x14ac:dyDescent="0.2">
      <c r="A183" s="57">
        <v>151</v>
      </c>
      <c r="B183" s="58">
        <f>PRRAS!C193</f>
        <v>182</v>
      </c>
      <c r="C183" s="58">
        <f>PRRAS!D193</f>
        <v>7408</v>
      </c>
      <c r="D183" s="58">
        <f>PRRAS!E193</f>
        <v>6900</v>
      </c>
      <c r="E183" s="58">
        <v>0</v>
      </c>
      <c r="F183" s="58">
        <v>0</v>
      </c>
      <c r="G183" s="59">
        <f t="shared" si="4"/>
        <v>3859.8559999999998</v>
      </c>
      <c r="H183" s="59">
        <f t="shared" si="5"/>
        <v>0</v>
      </c>
      <c r="I183" s="60">
        <v>0</v>
      </c>
    </row>
    <row r="184" spans="1:9" x14ac:dyDescent="0.2">
      <c r="A184" s="57">
        <v>151</v>
      </c>
      <c r="B184" s="58">
        <f>PRRAS!C194</f>
        <v>183</v>
      </c>
      <c r="C184" s="58">
        <f>PRRAS!D194</f>
        <v>0</v>
      </c>
      <c r="D184" s="58">
        <f>PRRAS!E194</f>
        <v>2375</v>
      </c>
      <c r="E184" s="58">
        <v>0</v>
      </c>
      <c r="F184" s="58">
        <v>0</v>
      </c>
      <c r="G184" s="59">
        <f t="shared" si="4"/>
        <v>869.25</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48197</v>
      </c>
      <c r="D186" s="58">
        <f>PRRAS!E196</f>
        <v>42293</v>
      </c>
      <c r="E186" s="58">
        <v>0</v>
      </c>
      <c r="F186" s="58">
        <v>0</v>
      </c>
      <c r="G186" s="59">
        <f t="shared" si="4"/>
        <v>24564.855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6292</v>
      </c>
      <c r="D188" s="58">
        <f>PRRAS!E198</f>
        <v>5671</v>
      </c>
      <c r="E188" s="58">
        <v>0</v>
      </c>
      <c r="F188" s="58">
        <v>0</v>
      </c>
      <c r="G188" s="59">
        <f t="shared" si="4"/>
        <v>3297.558</v>
      </c>
      <c r="H188" s="59">
        <f t="shared" si="5"/>
        <v>0</v>
      </c>
      <c r="I188" s="60">
        <v>0</v>
      </c>
    </row>
    <row r="189" spans="1:9" x14ac:dyDescent="0.2">
      <c r="A189" s="57">
        <v>151</v>
      </c>
      <c r="B189" s="58">
        <f>PRRAS!C199</f>
        <v>188</v>
      </c>
      <c r="C189" s="58">
        <f>PRRAS!D199</f>
        <v>5718</v>
      </c>
      <c r="D189" s="58">
        <f>PRRAS!E199</f>
        <v>8419</v>
      </c>
      <c r="E189" s="58">
        <v>0</v>
      </c>
      <c r="F189" s="58">
        <v>0</v>
      </c>
      <c r="G189" s="59">
        <f t="shared" si="4"/>
        <v>4240.5280000000002</v>
      </c>
      <c r="H189" s="59">
        <f t="shared" si="5"/>
        <v>0</v>
      </c>
      <c r="I189" s="60">
        <v>0</v>
      </c>
    </row>
    <row r="190" spans="1:9" x14ac:dyDescent="0.2">
      <c r="A190" s="57">
        <v>151</v>
      </c>
      <c r="B190" s="58">
        <f>PRRAS!C200</f>
        <v>189</v>
      </c>
      <c r="C190" s="58">
        <f>PRRAS!D200</f>
        <v>1000</v>
      </c>
      <c r="D190" s="58">
        <f>PRRAS!E200</f>
        <v>1200</v>
      </c>
      <c r="E190" s="58">
        <v>0</v>
      </c>
      <c r="F190" s="58">
        <v>0</v>
      </c>
      <c r="G190" s="59">
        <f t="shared" si="4"/>
        <v>642.6</v>
      </c>
      <c r="H190" s="59">
        <f t="shared" si="5"/>
        <v>0</v>
      </c>
      <c r="I190" s="60">
        <v>0</v>
      </c>
    </row>
    <row r="191" spans="1:9" x14ac:dyDescent="0.2">
      <c r="A191" s="57">
        <v>151</v>
      </c>
      <c r="B191" s="58">
        <f>PRRAS!C201</f>
        <v>190</v>
      </c>
      <c r="C191" s="58">
        <f>PRRAS!D201</f>
        <v>23494</v>
      </c>
      <c r="D191" s="58">
        <f>PRRAS!E201</f>
        <v>24668</v>
      </c>
      <c r="E191" s="58">
        <v>0</v>
      </c>
      <c r="F191" s="58">
        <v>0</v>
      </c>
      <c r="G191" s="59">
        <f t="shared" si="4"/>
        <v>13837.7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11693</v>
      </c>
      <c r="D193" s="58">
        <f>PRRAS!E203</f>
        <v>2335</v>
      </c>
      <c r="E193" s="58">
        <v>0</v>
      </c>
      <c r="F193" s="58">
        <v>0</v>
      </c>
      <c r="G193" s="59">
        <f t="shared" si="4"/>
        <v>3141.6959999999999</v>
      </c>
      <c r="H193" s="59">
        <f t="shared" si="5"/>
        <v>0</v>
      </c>
      <c r="I193" s="60">
        <v>0</v>
      </c>
    </row>
    <row r="194" spans="1:9" x14ac:dyDescent="0.2">
      <c r="A194" s="57">
        <v>151</v>
      </c>
      <c r="B194" s="58">
        <f>PRRAS!C204</f>
        <v>193</v>
      </c>
      <c r="C194" s="58">
        <f>PRRAS!D204</f>
        <v>4830</v>
      </c>
      <c r="D194" s="58">
        <f>PRRAS!E204</f>
        <v>3335</v>
      </c>
      <c r="E194" s="58">
        <v>0</v>
      </c>
      <c r="F194" s="58">
        <v>0</v>
      </c>
      <c r="G194" s="59">
        <f t="shared" ref="G194:G257" si="6">(B194/1000)*(C194*1+D194*2)</f>
        <v>2219.5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4830</v>
      </c>
      <c r="D208" s="58">
        <f>PRRAS!E218</f>
        <v>3335</v>
      </c>
      <c r="E208" s="58">
        <v>0</v>
      </c>
      <c r="F208" s="58">
        <v>0</v>
      </c>
      <c r="G208" s="59">
        <f t="shared" si="6"/>
        <v>2380.5</v>
      </c>
      <c r="H208" s="59">
        <f t="shared" si="7"/>
        <v>0</v>
      </c>
      <c r="I208" s="60">
        <v>0</v>
      </c>
    </row>
    <row r="209" spans="1:9" x14ac:dyDescent="0.2">
      <c r="A209" s="57">
        <v>151</v>
      </c>
      <c r="B209" s="58">
        <f>PRRAS!C219</f>
        <v>208</v>
      </c>
      <c r="C209" s="58">
        <f>PRRAS!D219</f>
        <v>4830</v>
      </c>
      <c r="D209" s="58">
        <f>PRRAS!E219</f>
        <v>3335</v>
      </c>
      <c r="E209" s="58">
        <v>0</v>
      </c>
      <c r="F209" s="58">
        <v>0</v>
      </c>
      <c r="G209" s="59">
        <f t="shared" si="6"/>
        <v>2392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7346787</v>
      </c>
      <c r="D282" s="58">
        <f>PRRAS!E292</f>
        <v>7718092</v>
      </c>
      <c r="E282" s="58">
        <v>0</v>
      </c>
      <c r="F282" s="58">
        <v>0</v>
      </c>
      <c r="G282" s="59">
        <f t="shared" si="8"/>
        <v>6402014.8510000007</v>
      </c>
      <c r="H282" s="59">
        <f t="shared" si="9"/>
        <v>0</v>
      </c>
      <c r="I282" s="60">
        <v>0</v>
      </c>
    </row>
    <row r="283" spans="1:9" x14ac:dyDescent="0.2">
      <c r="A283" s="57">
        <v>151</v>
      </c>
      <c r="B283" s="58">
        <f>PRRAS!C293</f>
        <v>282</v>
      </c>
      <c r="C283" s="58">
        <f>PRRAS!D293</f>
        <v>0</v>
      </c>
      <c r="D283" s="58">
        <f>PRRAS!E293</f>
        <v>0</v>
      </c>
      <c r="E283" s="58">
        <v>0</v>
      </c>
      <c r="F283" s="58">
        <v>0</v>
      </c>
      <c r="G283" s="59">
        <f t="shared" si="8"/>
        <v>0</v>
      </c>
      <c r="H283" s="59">
        <f t="shared" si="9"/>
        <v>0</v>
      </c>
      <c r="I283" s="60">
        <v>0</v>
      </c>
    </row>
    <row r="284" spans="1:9" x14ac:dyDescent="0.2">
      <c r="A284" s="57">
        <v>151</v>
      </c>
      <c r="B284" s="58">
        <f>PRRAS!C294</f>
        <v>283</v>
      </c>
      <c r="C284" s="58">
        <f>PRRAS!D294</f>
        <v>29450</v>
      </c>
      <c r="D284" s="58">
        <f>PRRAS!E294</f>
        <v>11568</v>
      </c>
      <c r="E284" s="58">
        <v>0</v>
      </c>
      <c r="F284" s="58">
        <v>0</v>
      </c>
      <c r="G284" s="59">
        <f t="shared" si="8"/>
        <v>14881.837999999998</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31435</v>
      </c>
      <c r="D342" s="58">
        <f>PRRAS!E353</f>
        <v>36005</v>
      </c>
      <c r="E342" s="58">
        <v>0</v>
      </c>
      <c r="F342" s="58">
        <v>0</v>
      </c>
      <c r="G342" s="59">
        <f t="shared" si="10"/>
        <v>35274.745000000003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31435</v>
      </c>
      <c r="D355" s="58">
        <f>PRRAS!E366</f>
        <v>36005</v>
      </c>
      <c r="E355" s="58">
        <v>0</v>
      </c>
      <c r="F355" s="58">
        <v>0</v>
      </c>
      <c r="G355" s="59">
        <f t="shared" si="10"/>
        <v>36619.53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29806</v>
      </c>
      <c r="D361" s="58">
        <f>PRRAS!E372</f>
        <v>32983</v>
      </c>
      <c r="E361" s="58">
        <v>0</v>
      </c>
      <c r="F361" s="58">
        <v>0</v>
      </c>
      <c r="G361" s="59">
        <f t="shared" si="10"/>
        <v>34477.919999999998</v>
      </c>
      <c r="H361" s="59">
        <f t="shared" si="11"/>
        <v>0</v>
      </c>
      <c r="I361" s="60">
        <v>0</v>
      </c>
    </row>
    <row r="362" spans="1:9" x14ac:dyDescent="0.2">
      <c r="A362" s="57">
        <v>151</v>
      </c>
      <c r="B362" s="58">
        <f>PRRAS!C373</f>
        <v>361</v>
      </c>
      <c r="C362" s="58">
        <f>PRRAS!D373</f>
        <v>29806</v>
      </c>
      <c r="D362" s="58">
        <f>PRRAS!E373</f>
        <v>32983</v>
      </c>
      <c r="E362" s="58">
        <v>0</v>
      </c>
      <c r="F362" s="58">
        <v>0</v>
      </c>
      <c r="G362" s="59">
        <f t="shared" si="10"/>
        <v>34573.691999999995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1629</v>
      </c>
      <c r="D375" s="58">
        <f>PRRAS!E386</f>
        <v>3022</v>
      </c>
      <c r="E375" s="58">
        <v>0</v>
      </c>
      <c r="F375" s="58">
        <v>0</v>
      </c>
      <c r="G375" s="59">
        <f t="shared" si="10"/>
        <v>2869.7019999999998</v>
      </c>
      <c r="H375" s="59">
        <f t="shared" si="11"/>
        <v>0</v>
      </c>
      <c r="I375" s="60">
        <v>0</v>
      </c>
    </row>
    <row r="376" spans="1:9" x14ac:dyDescent="0.2">
      <c r="A376" s="57">
        <v>151</v>
      </c>
      <c r="B376" s="58">
        <f>PRRAS!C387</f>
        <v>375</v>
      </c>
      <c r="C376" s="58">
        <f>PRRAS!D387</f>
        <v>1629</v>
      </c>
      <c r="D376" s="58">
        <f>PRRAS!E387</f>
        <v>3022</v>
      </c>
      <c r="E376" s="58">
        <v>0</v>
      </c>
      <c r="F376" s="58">
        <v>0</v>
      </c>
      <c r="G376" s="59">
        <f t="shared" si="10"/>
        <v>2877.375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31435</v>
      </c>
      <c r="D400" s="58">
        <f>PRRAS!E411</f>
        <v>36005</v>
      </c>
      <c r="E400" s="58">
        <v>0</v>
      </c>
      <c r="F400" s="58">
        <v>0</v>
      </c>
      <c r="G400" s="59">
        <f t="shared" si="12"/>
        <v>41274.555</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7317337</v>
      </c>
      <c r="D404" s="58">
        <f>PRRAS!E415</f>
        <v>7706524</v>
      </c>
      <c r="E404" s="58">
        <v>0</v>
      </c>
      <c r="F404" s="58">
        <v>0</v>
      </c>
      <c r="G404" s="59">
        <f t="shared" si="12"/>
        <v>9160345.1550000012</v>
      </c>
      <c r="H404" s="59">
        <f t="shared" si="13"/>
        <v>0</v>
      </c>
      <c r="I404" s="60">
        <v>0</v>
      </c>
    </row>
    <row r="405" spans="1:9" x14ac:dyDescent="0.2">
      <c r="A405" s="57">
        <v>151</v>
      </c>
      <c r="B405" s="58">
        <f>PRRAS!C416</f>
        <v>404</v>
      </c>
      <c r="C405" s="58">
        <f>PRRAS!D416</f>
        <v>7378222</v>
      </c>
      <c r="D405" s="58">
        <f>PRRAS!E416</f>
        <v>7754097</v>
      </c>
      <c r="E405" s="58">
        <v>0</v>
      </c>
      <c r="F405" s="58">
        <v>0</v>
      </c>
      <c r="G405" s="59">
        <f t="shared" si="12"/>
        <v>9246112.0640000012</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60885</v>
      </c>
      <c r="D407" s="58">
        <f>PRRAS!E418</f>
        <v>47573</v>
      </c>
      <c r="E407" s="58">
        <v>0</v>
      </c>
      <c r="F407" s="58">
        <v>0</v>
      </c>
      <c r="G407" s="59">
        <f t="shared" si="12"/>
        <v>63348.586000000003</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7317337</v>
      </c>
      <c r="D630" s="58">
        <f>PRRAS!E642</f>
        <v>7706524</v>
      </c>
      <c r="E630" s="58">
        <v>0</v>
      </c>
      <c r="F630" s="58">
        <v>0</v>
      </c>
      <c r="G630" s="59">
        <f t="shared" si="18"/>
        <v>14297412.165000001</v>
      </c>
      <c r="H630" s="59">
        <f t="shared" si="19"/>
        <v>0</v>
      </c>
      <c r="I630" s="60">
        <v>0</v>
      </c>
    </row>
    <row r="631" spans="1:9" x14ac:dyDescent="0.2">
      <c r="A631" s="57">
        <v>151</v>
      </c>
      <c r="B631" s="58">
        <f>PRRAS!C643</f>
        <v>630</v>
      </c>
      <c r="C631" s="58">
        <f>PRRAS!D643</f>
        <v>7378222</v>
      </c>
      <c r="D631" s="58">
        <f>PRRAS!E643</f>
        <v>7754097</v>
      </c>
      <c r="E631" s="58">
        <v>0</v>
      </c>
      <c r="F631" s="58">
        <v>0</v>
      </c>
      <c r="G631" s="59">
        <f t="shared" si="18"/>
        <v>14418442.08</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60885</v>
      </c>
      <c r="D633" s="58">
        <f>PRRAS!E645</f>
        <v>47573</v>
      </c>
      <c r="E633" s="58">
        <v>0</v>
      </c>
      <c r="F633" s="58">
        <v>0</v>
      </c>
      <c r="G633" s="59">
        <f t="shared" si="18"/>
        <v>98611.592000000004</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60885</v>
      </c>
      <c r="D637" s="58">
        <f>PRRAS!E649</f>
        <v>47573</v>
      </c>
      <c r="E637" s="58">
        <v>0</v>
      </c>
      <c r="F637" s="58">
        <v>0</v>
      </c>
      <c r="G637" s="59">
        <f t="shared" si="18"/>
        <v>99235.716</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81208</v>
      </c>
      <c r="D639" s="58">
        <f>PRRAS!E652</f>
        <v>14911</v>
      </c>
      <c r="E639" s="58">
        <v>0</v>
      </c>
      <c r="F639" s="58">
        <v>0</v>
      </c>
      <c r="G639" s="59">
        <f t="shared" si="18"/>
        <v>70837.14</v>
      </c>
      <c r="H639" s="59">
        <f t="shared" si="19"/>
        <v>0</v>
      </c>
      <c r="I639" s="60">
        <v>0</v>
      </c>
    </row>
    <row r="640" spans="1:9" x14ac:dyDescent="0.2">
      <c r="A640" s="57">
        <v>151</v>
      </c>
      <c r="B640" s="58">
        <f>PRRAS!C653</f>
        <v>639</v>
      </c>
      <c r="C640" s="58">
        <f>PRRAS!D653</f>
        <v>6216294</v>
      </c>
      <c r="D640" s="58">
        <f>PRRAS!E653</f>
        <v>6735761</v>
      </c>
      <c r="E640" s="58">
        <v>0</v>
      </c>
      <c r="F640" s="58">
        <v>0</v>
      </c>
      <c r="G640" s="59">
        <f t="shared" si="18"/>
        <v>12580514.424000001</v>
      </c>
      <c r="H640" s="59">
        <f t="shared" si="19"/>
        <v>0</v>
      </c>
      <c r="I640" s="60">
        <v>0</v>
      </c>
    </row>
    <row r="641" spans="1:9" x14ac:dyDescent="0.2">
      <c r="A641" s="57">
        <v>151</v>
      </c>
      <c r="B641" s="58">
        <f>PRRAS!C654</f>
        <v>640</v>
      </c>
      <c r="C641" s="58">
        <f>PRRAS!D654</f>
        <v>6282591</v>
      </c>
      <c r="D641" s="58">
        <f>PRRAS!E654</f>
        <v>6699343</v>
      </c>
      <c r="E641" s="58">
        <v>0</v>
      </c>
      <c r="F641" s="58">
        <v>0</v>
      </c>
      <c r="G641" s="59">
        <f t="shared" si="18"/>
        <v>12596017.280000001</v>
      </c>
      <c r="H641" s="59">
        <f t="shared" si="19"/>
        <v>0</v>
      </c>
      <c r="I641" s="60">
        <v>0</v>
      </c>
    </row>
    <row r="642" spans="1:9" x14ac:dyDescent="0.2">
      <c r="A642" s="57">
        <v>151</v>
      </c>
      <c r="B642" s="58">
        <f>PRRAS!C655</f>
        <v>641</v>
      </c>
      <c r="C642" s="58">
        <f>PRRAS!D655</f>
        <v>14911</v>
      </c>
      <c r="D642" s="58">
        <f>PRRAS!E655</f>
        <v>51329</v>
      </c>
      <c r="E642" s="58">
        <v>0</v>
      </c>
      <c r="F642" s="58">
        <v>0</v>
      </c>
      <c r="G642" s="59">
        <f t="shared" ref="G642:G705" si="20">(B642/1000)*(C642*1+D642*2)</f>
        <v>75361.729000000007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54</v>
      </c>
      <c r="D644" s="58">
        <f>PRRAS!E657</f>
        <v>54</v>
      </c>
      <c r="E644" s="58">
        <v>0</v>
      </c>
      <c r="F644" s="58">
        <v>0</v>
      </c>
      <c r="G644" s="59">
        <f t="shared" si="20"/>
        <v>104.166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60</v>
      </c>
      <c r="D646" s="58">
        <f>PRRAS!E659</f>
        <v>60</v>
      </c>
      <c r="E646" s="58">
        <v>0</v>
      </c>
      <c r="F646" s="58">
        <v>0</v>
      </c>
      <c r="G646" s="59">
        <f t="shared" si="20"/>
        <v>116.10000000000001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6070443</v>
      </c>
      <c r="D665" s="58">
        <f>PRRAS!E678</f>
        <v>6317950</v>
      </c>
      <c r="E665" s="58">
        <v>0</v>
      </c>
      <c r="F665" s="58">
        <v>0</v>
      </c>
      <c r="G665" s="59">
        <f t="shared" si="20"/>
        <v>12421011.752</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186879</v>
      </c>
      <c r="D685" s="58">
        <f>PRRAS!E698</f>
        <v>254160</v>
      </c>
      <c r="E685" s="58">
        <v>0</v>
      </c>
      <c r="F685" s="58">
        <v>0</v>
      </c>
      <c r="G685" s="59">
        <f t="shared" si="20"/>
        <v>475516.11600000004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217963</v>
      </c>
      <c r="D689" s="58">
        <f>PRRAS!E702</f>
        <v>206228</v>
      </c>
      <c r="E689" s="58">
        <v>0</v>
      </c>
      <c r="F689" s="58">
        <v>0</v>
      </c>
      <c r="G689" s="59">
        <f t="shared" si="20"/>
        <v>433728.27199999994</v>
      </c>
      <c r="H689" s="59">
        <f t="shared" si="21"/>
        <v>0</v>
      </c>
      <c r="I689" s="60">
        <v>0</v>
      </c>
    </row>
    <row r="690" spans="1:9" x14ac:dyDescent="0.2">
      <c r="A690" s="57">
        <v>151</v>
      </c>
      <c r="B690" s="58">
        <f>PRRAS!C703</f>
        <v>689</v>
      </c>
      <c r="C690" s="58">
        <f>PRRAS!D703</f>
        <v>253775</v>
      </c>
      <c r="D690" s="58">
        <f>PRRAS!E703</f>
        <v>297671</v>
      </c>
      <c r="E690" s="58">
        <v>0</v>
      </c>
      <c r="F690" s="58">
        <v>0</v>
      </c>
      <c r="G690" s="59">
        <f t="shared" si="20"/>
        <v>585041.61300000001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24081</v>
      </c>
      <c r="D692" s="58">
        <f>PRRAS!E705</f>
        <v>16625</v>
      </c>
      <c r="E692" s="58">
        <v>0</v>
      </c>
      <c r="F692" s="58">
        <v>0</v>
      </c>
      <c r="G692" s="59">
        <f t="shared" si="20"/>
        <v>39615.720999999998</v>
      </c>
      <c r="H692" s="59">
        <f t="shared" si="21"/>
        <v>0</v>
      </c>
      <c r="I692" s="60">
        <v>0</v>
      </c>
    </row>
    <row r="693" spans="1:9" x14ac:dyDescent="0.2">
      <c r="A693" s="57">
        <v>151</v>
      </c>
      <c r="B693" s="58">
        <f>PRRAS!C706</f>
        <v>692</v>
      </c>
      <c r="C693" s="58">
        <f>PRRAS!D706</f>
        <v>0</v>
      </c>
      <c r="D693" s="58">
        <f>PRRAS!E706</f>
        <v>5000</v>
      </c>
      <c r="E693" s="58">
        <v>0</v>
      </c>
      <c r="F693" s="58">
        <v>0</v>
      </c>
      <c r="G693" s="59">
        <f t="shared" si="20"/>
        <v>6919.9999999999991</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2375</v>
      </c>
      <c r="E696" s="58">
        <v>0</v>
      </c>
      <c r="F696" s="58">
        <v>0</v>
      </c>
      <c r="G696" s="59">
        <f t="shared" si="20"/>
        <v>3301.2499999999995</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6292</v>
      </c>
      <c r="D698" s="58">
        <f>PRRAS!E711</f>
        <v>5671</v>
      </c>
      <c r="E698" s="58">
        <v>0</v>
      </c>
      <c r="F698" s="58">
        <v>0</v>
      </c>
      <c r="G698" s="59">
        <f t="shared" si="20"/>
        <v>12290.897999999999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4028523</v>
      </c>
      <c r="D977" s="63">
        <f>Bil!E12</f>
        <v>3894266</v>
      </c>
      <c r="E977" s="63">
        <v>0</v>
      </c>
      <c r="F977" s="63">
        <v>0</v>
      </c>
      <c r="G977" s="64">
        <f t="shared" ref="G977:G1040" si="32">B977/1000*C977+B977/500*D977</f>
        <v>11817.055</v>
      </c>
      <c r="H977" s="64">
        <f t="shared" si="31"/>
        <v>0</v>
      </c>
      <c r="I977" s="65"/>
    </row>
    <row r="978" spans="1:9" x14ac:dyDescent="0.2">
      <c r="A978" s="57">
        <v>152</v>
      </c>
      <c r="B978" s="58">
        <f>Bil!C13</f>
        <v>2</v>
      </c>
      <c r="C978" s="58">
        <f>Bil!D13</f>
        <v>4008333</v>
      </c>
      <c r="D978" s="58">
        <f>Bil!E13</f>
        <v>3837674</v>
      </c>
      <c r="E978" s="58">
        <v>0</v>
      </c>
      <c r="F978" s="58">
        <v>0</v>
      </c>
      <c r="G978" s="59">
        <f t="shared" si="32"/>
        <v>23367.362000000001</v>
      </c>
      <c r="H978" s="59">
        <f t="shared" si="31"/>
        <v>0</v>
      </c>
      <c r="I978" s="60"/>
    </row>
    <row r="979" spans="1:9" x14ac:dyDescent="0.2">
      <c r="A979" s="57">
        <v>152</v>
      </c>
      <c r="B979" s="58">
        <f>Bil!C14</f>
        <v>3</v>
      </c>
      <c r="C979" s="58">
        <f>Bil!D14</f>
        <v>253549</v>
      </c>
      <c r="D979" s="58">
        <f>Bil!E14</f>
        <v>253549</v>
      </c>
      <c r="E979" s="58">
        <v>0</v>
      </c>
      <c r="F979" s="58">
        <v>0</v>
      </c>
      <c r="G979" s="59">
        <f t="shared" si="32"/>
        <v>2281.9410000000003</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253549</v>
      </c>
      <c r="D981" s="58">
        <f>Bil!E16</f>
        <v>253549</v>
      </c>
      <c r="E981" s="58">
        <v>0</v>
      </c>
      <c r="F981" s="58">
        <v>0</v>
      </c>
      <c r="G981" s="59">
        <f t="shared" si="32"/>
        <v>3803.2350000000006</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3754784</v>
      </c>
      <c r="D983" s="58">
        <f>Bil!E18</f>
        <v>3584125</v>
      </c>
      <c r="E983" s="58">
        <v>0</v>
      </c>
      <c r="F983" s="58">
        <v>0</v>
      </c>
      <c r="G983" s="59">
        <f t="shared" si="32"/>
        <v>76461.237999999998</v>
      </c>
      <c r="H983" s="59">
        <f t="shared" si="31"/>
        <v>0</v>
      </c>
      <c r="I983" s="60"/>
    </row>
    <row r="984" spans="1:9" x14ac:dyDescent="0.2">
      <c r="A984" s="57">
        <v>152</v>
      </c>
      <c r="B984" s="58">
        <f>Bil!C19</f>
        <v>8</v>
      </c>
      <c r="C984" s="58">
        <f>Bil!D19</f>
        <v>2288170</v>
      </c>
      <c r="D984" s="58">
        <f>Bil!E19</f>
        <v>2234590</v>
      </c>
      <c r="E984" s="58">
        <v>0</v>
      </c>
      <c r="F984" s="58">
        <v>0</v>
      </c>
      <c r="G984" s="59">
        <f t="shared" si="32"/>
        <v>54058.8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4045418</v>
      </c>
      <c r="D986" s="58">
        <f>Bil!E21</f>
        <v>4045418</v>
      </c>
      <c r="E986" s="58">
        <v>0</v>
      </c>
      <c r="F986" s="58">
        <v>0</v>
      </c>
      <c r="G986" s="59">
        <f t="shared" si="32"/>
        <v>121362.54000000001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1757248</v>
      </c>
      <c r="D989" s="58">
        <f>Bil!E24</f>
        <v>1810828</v>
      </c>
      <c r="E989" s="58">
        <v>0</v>
      </c>
      <c r="F989" s="58">
        <v>0</v>
      </c>
      <c r="G989" s="59">
        <f t="shared" si="32"/>
        <v>69925.751999999993</v>
      </c>
      <c r="H989" s="59">
        <f t="shared" si="31"/>
        <v>0</v>
      </c>
      <c r="I989" s="60"/>
    </row>
    <row r="990" spans="1:9" x14ac:dyDescent="0.2">
      <c r="A990" s="57">
        <v>152</v>
      </c>
      <c r="B990" s="58">
        <f>Bil!C25</f>
        <v>14</v>
      </c>
      <c r="C990" s="58">
        <f>Bil!D25</f>
        <v>1308530</v>
      </c>
      <c r="D990" s="58">
        <f>Bil!E25</f>
        <v>1207022</v>
      </c>
      <c r="E990" s="58">
        <v>0</v>
      </c>
      <c r="F990" s="58">
        <v>0</v>
      </c>
      <c r="G990" s="59">
        <f t="shared" si="32"/>
        <v>52116.036000000007</v>
      </c>
      <c r="H990" s="59">
        <f t="shared" si="31"/>
        <v>0</v>
      </c>
      <c r="I990" s="60"/>
    </row>
    <row r="991" spans="1:9" x14ac:dyDescent="0.2">
      <c r="A991" s="57">
        <v>152</v>
      </c>
      <c r="B991" s="58">
        <f>Bil!C26</f>
        <v>15</v>
      </c>
      <c r="C991" s="58">
        <f>Bil!D26</f>
        <v>2258283</v>
      </c>
      <c r="D991" s="58">
        <f>Bil!E26</f>
        <v>2258283</v>
      </c>
      <c r="E991" s="58">
        <v>0</v>
      </c>
      <c r="F991" s="58">
        <v>0</v>
      </c>
      <c r="G991" s="59">
        <f t="shared" si="32"/>
        <v>101622.73499999999</v>
      </c>
      <c r="H991" s="59">
        <f t="shared" si="31"/>
        <v>0</v>
      </c>
      <c r="I991" s="60"/>
    </row>
    <row r="992" spans="1:9" x14ac:dyDescent="0.2">
      <c r="A992" s="57">
        <v>152</v>
      </c>
      <c r="B992" s="58">
        <f>Bil!C27</f>
        <v>16</v>
      </c>
      <c r="C992" s="58">
        <f>Bil!D27</f>
        <v>11935</v>
      </c>
      <c r="D992" s="58">
        <f>Bil!E27</f>
        <v>11935</v>
      </c>
      <c r="E992" s="58">
        <v>0</v>
      </c>
      <c r="F992" s="58">
        <v>0</v>
      </c>
      <c r="G992" s="59">
        <f t="shared" si="32"/>
        <v>572.88</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4416</v>
      </c>
      <c r="D995" s="58">
        <f>Bil!E30</f>
        <v>4419</v>
      </c>
      <c r="E995" s="58">
        <v>0</v>
      </c>
      <c r="F995" s="58">
        <v>0</v>
      </c>
      <c r="G995" s="59">
        <f t="shared" si="32"/>
        <v>251.82599999999999</v>
      </c>
      <c r="H995" s="59">
        <f t="shared" si="31"/>
        <v>0</v>
      </c>
      <c r="I995" s="60"/>
    </row>
    <row r="996" spans="1:9" x14ac:dyDescent="0.2">
      <c r="A996" s="57">
        <v>152</v>
      </c>
      <c r="B996" s="58">
        <f>Bil!C31</f>
        <v>20</v>
      </c>
      <c r="C996" s="58">
        <f>Bil!D31</f>
        <v>89644</v>
      </c>
      <c r="D996" s="58">
        <f>Bil!E31</f>
        <v>89644</v>
      </c>
      <c r="E996" s="58">
        <v>0</v>
      </c>
      <c r="F996" s="58">
        <v>0</v>
      </c>
      <c r="G996" s="59">
        <f t="shared" si="32"/>
        <v>5378.64</v>
      </c>
      <c r="H996" s="59">
        <f t="shared" si="31"/>
        <v>0</v>
      </c>
      <c r="I996" s="60"/>
    </row>
    <row r="997" spans="1:9" x14ac:dyDescent="0.2">
      <c r="A997" s="57">
        <v>152</v>
      </c>
      <c r="B997" s="58">
        <f>Bil!C32</f>
        <v>21</v>
      </c>
      <c r="C997" s="58">
        <f>Bil!D32</f>
        <v>45451</v>
      </c>
      <c r="D997" s="58">
        <f>Bil!E32</f>
        <v>45451</v>
      </c>
      <c r="E997" s="58">
        <v>0</v>
      </c>
      <c r="F997" s="58">
        <v>0</v>
      </c>
      <c r="G997" s="59">
        <f t="shared" si="32"/>
        <v>2863.413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1101199</v>
      </c>
      <c r="D999" s="58">
        <f>Bil!E34</f>
        <v>1202710</v>
      </c>
      <c r="E999" s="58">
        <v>0</v>
      </c>
      <c r="F999" s="58">
        <v>0</v>
      </c>
      <c r="G999" s="59">
        <f t="shared" si="32"/>
        <v>80652.236999999994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158084</v>
      </c>
      <c r="D1006" s="58">
        <f>Bil!E41</f>
        <v>142513</v>
      </c>
      <c r="E1006" s="58">
        <v>0</v>
      </c>
      <c r="F1006" s="58">
        <v>0</v>
      </c>
      <c r="G1006" s="59">
        <f t="shared" si="32"/>
        <v>13293.3</v>
      </c>
      <c r="H1006" s="59">
        <f t="shared" si="31"/>
        <v>0</v>
      </c>
      <c r="I1006" s="60"/>
    </row>
    <row r="1007" spans="1:9" x14ac:dyDescent="0.2">
      <c r="A1007" s="57">
        <v>152</v>
      </c>
      <c r="B1007" s="58">
        <f>Bil!C42</f>
        <v>31</v>
      </c>
      <c r="C1007" s="58">
        <f>Bil!D42</f>
        <v>158084</v>
      </c>
      <c r="D1007" s="58">
        <f>Bil!E42</f>
        <v>142513</v>
      </c>
      <c r="E1007" s="58">
        <v>0</v>
      </c>
      <c r="F1007" s="58">
        <v>0</v>
      </c>
      <c r="G1007" s="59">
        <f t="shared" si="32"/>
        <v>13736.41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197242</v>
      </c>
      <c r="D1025" s="58">
        <f>Bil!E60</f>
        <v>219014</v>
      </c>
      <c r="E1025" s="58">
        <v>0</v>
      </c>
      <c r="F1025" s="58">
        <v>0</v>
      </c>
      <c r="G1025" s="59">
        <f t="shared" si="32"/>
        <v>31128.23</v>
      </c>
      <c r="H1025" s="59">
        <f t="shared" si="31"/>
        <v>0</v>
      </c>
      <c r="I1025" s="60"/>
    </row>
    <row r="1026" spans="1:9" x14ac:dyDescent="0.2">
      <c r="A1026" s="57">
        <v>152</v>
      </c>
      <c r="B1026" s="58">
        <f>Bil!C61</f>
        <v>50</v>
      </c>
      <c r="C1026" s="58">
        <f>Bil!D61</f>
        <v>197242</v>
      </c>
      <c r="D1026" s="58">
        <f>Bil!E61</f>
        <v>219014</v>
      </c>
      <c r="E1026" s="58">
        <v>0</v>
      </c>
      <c r="F1026" s="58">
        <v>0</v>
      </c>
      <c r="G1026" s="59">
        <f t="shared" si="32"/>
        <v>31763.5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20190</v>
      </c>
      <c r="D1039" s="58">
        <f>Bil!E74</f>
        <v>56592</v>
      </c>
      <c r="E1039" s="58">
        <v>0</v>
      </c>
      <c r="F1039" s="58">
        <v>0</v>
      </c>
      <c r="G1039" s="59">
        <f t="shared" si="32"/>
        <v>8402.5619999999999</v>
      </c>
      <c r="H1039" s="59">
        <f t="shared" si="33"/>
        <v>0</v>
      </c>
      <c r="I1039" s="60"/>
    </row>
    <row r="1040" spans="1:9" x14ac:dyDescent="0.2">
      <c r="A1040" s="57">
        <v>152</v>
      </c>
      <c r="B1040" s="58">
        <f>Bil!C75</f>
        <v>64</v>
      </c>
      <c r="C1040" s="58">
        <f>Bil!D75</f>
        <v>14927</v>
      </c>
      <c r="D1040" s="58">
        <f>Bil!E75</f>
        <v>51329</v>
      </c>
      <c r="E1040" s="58">
        <v>0</v>
      </c>
      <c r="F1040" s="58">
        <v>0</v>
      </c>
      <c r="G1040" s="59">
        <f t="shared" si="32"/>
        <v>7525.4400000000005</v>
      </c>
      <c r="H1040" s="59">
        <f t="shared" si="33"/>
        <v>0</v>
      </c>
      <c r="I1040" s="60"/>
    </row>
    <row r="1041" spans="1:9" x14ac:dyDescent="0.2">
      <c r="A1041" s="57">
        <v>152</v>
      </c>
      <c r="B1041" s="58">
        <f>Bil!C76</f>
        <v>65</v>
      </c>
      <c r="C1041" s="58">
        <f>Bil!D76</f>
        <v>14911</v>
      </c>
      <c r="D1041" s="58">
        <f>Bil!E76</f>
        <v>50978</v>
      </c>
      <c r="E1041" s="58">
        <v>0</v>
      </c>
      <c r="F1041" s="58">
        <v>0</v>
      </c>
      <c r="G1041" s="59">
        <f t="shared" ref="G1041:G1104" si="34">B1041/1000*C1041+B1041/500*D1041</f>
        <v>7596.3550000000005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14911</v>
      </c>
      <c r="D1043" s="58">
        <f>Bil!E78</f>
        <v>50978</v>
      </c>
      <c r="E1043" s="58">
        <v>0</v>
      </c>
      <c r="F1043" s="58">
        <v>0</v>
      </c>
      <c r="G1043" s="59">
        <f t="shared" si="34"/>
        <v>7830.0890000000009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16</v>
      </c>
      <c r="D1047" s="58">
        <f>Bil!E82</f>
        <v>351</v>
      </c>
      <c r="E1047" s="58">
        <v>0</v>
      </c>
      <c r="F1047" s="58">
        <v>0</v>
      </c>
      <c r="G1047" s="59">
        <f t="shared" si="34"/>
        <v>50.978000000000002</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5263</v>
      </c>
      <c r="D1049" s="58">
        <f>Bil!E84</f>
        <v>5263</v>
      </c>
      <c r="E1049" s="58">
        <v>0</v>
      </c>
      <c r="F1049" s="58">
        <v>0</v>
      </c>
      <c r="G1049" s="59">
        <f t="shared" si="34"/>
        <v>1152.5969999999998</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5263</v>
      </c>
      <c r="D1056" s="58">
        <f>Bil!E91</f>
        <v>5263</v>
      </c>
      <c r="E1056" s="58">
        <v>0</v>
      </c>
      <c r="F1056" s="58">
        <v>0</v>
      </c>
      <c r="G1056" s="59">
        <f t="shared" si="34"/>
        <v>1263.1200000000001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4028523</v>
      </c>
      <c r="D1138" s="58">
        <f>Bil!E173</f>
        <v>3894266</v>
      </c>
      <c r="E1138" s="58">
        <v>0</v>
      </c>
      <c r="F1138" s="58">
        <v>0</v>
      </c>
      <c r="G1138" s="59">
        <f t="shared" si="36"/>
        <v>1914362.9100000001</v>
      </c>
      <c r="H1138" s="59">
        <f t="shared" si="35"/>
        <v>0</v>
      </c>
      <c r="I1138" s="60"/>
    </row>
    <row r="1139" spans="1:9" x14ac:dyDescent="0.2">
      <c r="A1139" s="57">
        <v>152</v>
      </c>
      <c r="B1139" s="58">
        <f>Bil!C174</f>
        <v>163</v>
      </c>
      <c r="C1139" s="58">
        <f>Bil!D174</f>
        <v>90691</v>
      </c>
      <c r="D1139" s="58">
        <f>Bil!E174</f>
        <v>80556</v>
      </c>
      <c r="E1139" s="58">
        <v>0</v>
      </c>
      <c r="F1139" s="58">
        <v>0</v>
      </c>
      <c r="G1139" s="59">
        <f t="shared" si="36"/>
        <v>41043.889000000003</v>
      </c>
      <c r="H1139" s="59">
        <f t="shared" si="35"/>
        <v>0</v>
      </c>
      <c r="I1139" s="60"/>
    </row>
    <row r="1140" spans="1:9" x14ac:dyDescent="0.2">
      <c r="A1140" s="57">
        <v>152</v>
      </c>
      <c r="B1140" s="58">
        <f>Bil!C175</f>
        <v>164</v>
      </c>
      <c r="C1140" s="58">
        <f>Bil!D175</f>
        <v>60885</v>
      </c>
      <c r="D1140" s="58">
        <f>Bil!E175</f>
        <v>47573</v>
      </c>
      <c r="E1140" s="58">
        <v>0</v>
      </c>
      <c r="F1140" s="58">
        <v>0</v>
      </c>
      <c r="G1140" s="59">
        <f t="shared" si="36"/>
        <v>25589.084000000003</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60885</v>
      </c>
      <c r="D1142" s="58">
        <f>Bil!E177</f>
        <v>47573</v>
      </c>
      <c r="E1142" s="58">
        <v>0</v>
      </c>
      <c r="F1142" s="58">
        <v>0</v>
      </c>
      <c r="G1142" s="59">
        <f t="shared" si="36"/>
        <v>25901.146000000001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29806</v>
      </c>
      <c r="D1151" s="58">
        <f>Bil!E186</f>
        <v>32983</v>
      </c>
      <c r="E1151" s="58">
        <v>0</v>
      </c>
      <c r="F1151" s="58">
        <v>0</v>
      </c>
      <c r="G1151" s="59">
        <f t="shared" si="36"/>
        <v>16760.099999999999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3937832</v>
      </c>
      <c r="D1199" s="58">
        <f>Bil!E234</f>
        <v>3813710</v>
      </c>
      <c r="E1199" s="58">
        <v>0</v>
      </c>
      <c r="F1199" s="58">
        <v>0</v>
      </c>
      <c r="G1199" s="59">
        <f t="shared" si="38"/>
        <v>2579051.196</v>
      </c>
      <c r="H1199" s="59">
        <f t="shared" si="37"/>
        <v>0</v>
      </c>
      <c r="I1199" s="60"/>
    </row>
    <row r="1200" spans="1:9" x14ac:dyDescent="0.2">
      <c r="A1200" s="57">
        <v>152</v>
      </c>
      <c r="B1200" s="58">
        <f>Bil!C235</f>
        <v>224</v>
      </c>
      <c r="C1200" s="58">
        <f>Bil!D235</f>
        <v>3998717</v>
      </c>
      <c r="D1200" s="58">
        <f>Bil!E235</f>
        <v>3861283</v>
      </c>
      <c r="E1200" s="58">
        <v>0</v>
      </c>
      <c r="F1200" s="58">
        <v>0</v>
      </c>
      <c r="G1200" s="59">
        <f t="shared" si="38"/>
        <v>2625567.392</v>
      </c>
      <c r="H1200" s="59">
        <f t="shared" si="37"/>
        <v>0</v>
      </c>
      <c r="I1200" s="60"/>
    </row>
    <row r="1201" spans="1:9" x14ac:dyDescent="0.2">
      <c r="A1201" s="57">
        <v>152</v>
      </c>
      <c r="B1201" s="58">
        <f>Bil!C236</f>
        <v>225</v>
      </c>
      <c r="C1201" s="58">
        <f>Bil!D236</f>
        <v>3998717</v>
      </c>
      <c r="D1201" s="58">
        <f>Bil!E236</f>
        <v>3861283</v>
      </c>
      <c r="E1201" s="58">
        <v>0</v>
      </c>
      <c r="F1201" s="58">
        <v>0</v>
      </c>
      <c r="G1201" s="59">
        <f t="shared" si="38"/>
        <v>2637288.6750000003</v>
      </c>
      <c r="H1201" s="59">
        <f t="shared" si="37"/>
        <v>0</v>
      </c>
      <c r="I1201" s="60"/>
    </row>
    <row r="1202" spans="1:9" x14ac:dyDescent="0.2">
      <c r="A1202" s="57">
        <v>152</v>
      </c>
      <c r="B1202" s="58">
        <f>Bil!C237</f>
        <v>226</v>
      </c>
      <c r="C1202" s="58">
        <f>Bil!D237</f>
        <v>0</v>
      </c>
      <c r="D1202" s="58">
        <f>Bil!E237</f>
        <v>0</v>
      </c>
      <c r="E1202" s="58">
        <v>0</v>
      </c>
      <c r="F1202" s="58">
        <v>0</v>
      </c>
      <c r="G1202" s="59">
        <f t="shared" si="38"/>
        <v>0</v>
      </c>
      <c r="H1202" s="59">
        <f t="shared" si="37"/>
        <v>0</v>
      </c>
      <c r="I1202" s="60"/>
    </row>
    <row r="1203" spans="1:9" x14ac:dyDescent="0.2">
      <c r="A1203" s="57">
        <v>152</v>
      </c>
      <c r="B1203" s="58">
        <f>Bil!C238</f>
        <v>227</v>
      </c>
      <c r="C1203" s="58">
        <f>Bil!D238</f>
        <v>3998717</v>
      </c>
      <c r="D1203" s="58">
        <f>Bil!E238</f>
        <v>3861283</v>
      </c>
      <c r="E1203" s="58">
        <v>0</v>
      </c>
      <c r="F1203" s="58">
        <v>0</v>
      </c>
      <c r="G1203" s="59">
        <f t="shared" si="38"/>
        <v>2660731.2410000004</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60885</v>
      </c>
      <c r="D1212" s="58">
        <f>Bil!E247</f>
        <v>47573</v>
      </c>
      <c r="E1212" s="58">
        <v>0</v>
      </c>
      <c r="F1212" s="58">
        <v>0</v>
      </c>
      <c r="G1212" s="59">
        <f t="shared" si="38"/>
        <v>36823.315999999999</v>
      </c>
      <c r="H1212" s="59">
        <f t="shared" si="37"/>
        <v>0</v>
      </c>
      <c r="I1212" s="60"/>
    </row>
    <row r="1213" spans="1:9" x14ac:dyDescent="0.2">
      <c r="A1213" s="57">
        <v>152</v>
      </c>
      <c r="B1213" s="58">
        <f>Bil!C248</f>
        <v>237</v>
      </c>
      <c r="C1213" s="58">
        <f>Bil!D248</f>
        <v>60885</v>
      </c>
      <c r="D1213" s="58">
        <f>Bil!E248</f>
        <v>47573</v>
      </c>
      <c r="E1213" s="58">
        <v>0</v>
      </c>
      <c r="F1213" s="58">
        <v>0</v>
      </c>
      <c r="G1213" s="59">
        <f t="shared" si="38"/>
        <v>36979.346999999994</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60885</v>
      </c>
      <c r="D1251" s="58">
        <f>Bil!E287</f>
        <v>47573</v>
      </c>
      <c r="E1251" s="58">
        <v>0</v>
      </c>
      <c r="F1251" s="58">
        <v>0</v>
      </c>
      <c r="G1251" s="59">
        <f t="shared" si="40"/>
        <v>42908.525000000001</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29806</v>
      </c>
      <c r="D1253" s="58">
        <f>Bil!E289</f>
        <v>32983</v>
      </c>
      <c r="E1253" s="58">
        <v>0</v>
      </c>
      <c r="F1253" s="58">
        <v>0</v>
      </c>
      <c r="G1253" s="59">
        <f t="shared" si="40"/>
        <v>26528.844000000005</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7378222</v>
      </c>
      <c r="D1396" s="58">
        <f>RasF!E121</f>
        <v>7754097</v>
      </c>
      <c r="E1396" s="58">
        <v>0</v>
      </c>
      <c r="F1396" s="58">
        <v>0</v>
      </c>
      <c r="G1396" s="59">
        <f t="shared" si="44"/>
        <v>2517505.7600000002</v>
      </c>
      <c r="H1396" s="59">
        <f t="shared" si="43"/>
        <v>0</v>
      </c>
      <c r="I1396" s="60"/>
    </row>
    <row r="1397" spans="1:9" x14ac:dyDescent="0.2">
      <c r="A1397" s="57">
        <v>154</v>
      </c>
      <c r="B1397" s="58">
        <f>RasF!C122</f>
        <v>111</v>
      </c>
      <c r="C1397" s="58">
        <f>RasF!D122</f>
        <v>7222201</v>
      </c>
      <c r="D1397" s="58">
        <f>RasF!E122</f>
        <v>7464602</v>
      </c>
      <c r="E1397" s="58">
        <v>0</v>
      </c>
      <c r="F1397" s="58">
        <v>0</v>
      </c>
      <c r="G1397" s="59">
        <f t="shared" si="44"/>
        <v>2458805.9550000001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7222201</v>
      </c>
      <c r="D1399" s="58">
        <f>RasF!E124</f>
        <v>7464602</v>
      </c>
      <c r="E1399" s="58">
        <v>0</v>
      </c>
      <c r="F1399" s="58">
        <v>0</v>
      </c>
      <c r="G1399" s="59">
        <f t="shared" si="44"/>
        <v>2503108.7650000001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156021</v>
      </c>
      <c r="D1408" s="58">
        <f>RasF!E133</f>
        <v>289495</v>
      </c>
      <c r="E1408" s="58">
        <v>0</v>
      </c>
      <c r="F1408" s="58">
        <v>0</v>
      </c>
      <c r="G1408" s="59">
        <f t="shared" si="44"/>
        <v>89671.342000000004</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7378222</v>
      </c>
      <c r="D1423" s="67">
        <f>RasF!E148</f>
        <v>7754097</v>
      </c>
      <c r="E1423" s="67">
        <v>0</v>
      </c>
      <c r="F1423" s="67">
        <v>0</v>
      </c>
      <c r="G1423" s="68">
        <f t="shared" si="44"/>
        <v>3135438.9920000006</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
      <c r="A1469" s="73">
        <v>159</v>
      </c>
      <c r="B1469" s="61">
        <f>Obv!C13</f>
        <v>2</v>
      </c>
      <c r="C1469" s="61">
        <f>Obv!D13</f>
        <v>47573</v>
      </c>
      <c r="D1469" s="61">
        <v>0</v>
      </c>
      <c r="E1469" s="61">
        <v>0</v>
      </c>
      <c r="F1469" s="61">
        <v>0</v>
      </c>
      <c r="G1469" s="59">
        <f t="shared" si="51"/>
        <v>95.146000000000001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47573</v>
      </c>
      <c r="D1471" s="61">
        <v>0</v>
      </c>
      <c r="E1471" s="61">
        <v>0</v>
      </c>
      <c r="F1471" s="61">
        <v>0</v>
      </c>
      <c r="G1471" s="59">
        <f t="shared" si="51"/>
        <v>190.292</v>
      </c>
      <c r="H1471" s="59">
        <f t="shared" si="52"/>
        <v>0</v>
      </c>
      <c r="I1471" s="60"/>
    </row>
    <row r="1472" spans="1:9" x14ac:dyDescent="0.2">
      <c r="A1472" s="73">
        <v>159</v>
      </c>
      <c r="B1472" s="61">
        <f>Obv!C16</f>
        <v>5</v>
      </c>
      <c r="C1472" s="61">
        <f>Obv!D16</f>
        <v>0</v>
      </c>
      <c r="D1472" s="61">
        <v>0</v>
      </c>
      <c r="E1472" s="61">
        <v>0</v>
      </c>
      <c r="F1472" s="61">
        <v>0</v>
      </c>
      <c r="G1472" s="59">
        <f t="shared" si="51"/>
        <v>0</v>
      </c>
      <c r="H1472" s="59">
        <f t="shared" si="52"/>
        <v>0</v>
      </c>
      <c r="I1472" s="60"/>
    </row>
    <row r="1473" spans="1:9" x14ac:dyDescent="0.2">
      <c r="A1473" s="73">
        <v>159</v>
      </c>
      <c r="B1473" s="61">
        <f>Obv!C17</f>
        <v>6</v>
      </c>
      <c r="C1473" s="61">
        <f>Obv!D17</f>
        <v>47573</v>
      </c>
      <c r="D1473" s="61">
        <v>0</v>
      </c>
      <c r="E1473" s="61">
        <v>0</v>
      </c>
      <c r="F1473" s="61">
        <v>0</v>
      </c>
      <c r="G1473" s="59">
        <f t="shared" si="51"/>
        <v>285.43799999999999</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47573</v>
      </c>
      <c r="D1486" s="61">
        <v>0</v>
      </c>
      <c r="E1486" s="61">
        <v>0</v>
      </c>
      <c r="F1486" s="61">
        <v>0</v>
      </c>
      <c r="G1486" s="59">
        <f t="shared" si="51"/>
        <v>903.88699999999994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47573</v>
      </c>
      <c r="D1488" s="61">
        <v>0</v>
      </c>
      <c r="E1488" s="61">
        <v>0</v>
      </c>
      <c r="F1488" s="61">
        <v>0</v>
      </c>
      <c r="G1488" s="59">
        <f t="shared" si="51"/>
        <v>999.03300000000002</v>
      </c>
      <c r="H1488" s="59">
        <f t="shared" si="52"/>
        <v>0</v>
      </c>
      <c r="I1488" s="60"/>
    </row>
    <row r="1489" spans="1:9" x14ac:dyDescent="0.2">
      <c r="A1489" s="73">
        <v>159</v>
      </c>
      <c r="B1489" s="61">
        <f>Obv!C33</f>
        <v>22</v>
      </c>
      <c r="C1489" s="61">
        <f>Obv!D33</f>
        <v>0</v>
      </c>
      <c r="D1489" s="61">
        <v>0</v>
      </c>
      <c r="E1489" s="61">
        <v>0</v>
      </c>
      <c r="F1489" s="61">
        <v>0</v>
      </c>
      <c r="G1489" s="59">
        <f t="shared" si="51"/>
        <v>0</v>
      </c>
      <c r="H1489" s="59">
        <f t="shared" si="52"/>
        <v>0</v>
      </c>
      <c r="I1489" s="60"/>
    </row>
    <row r="1490" spans="1:9" x14ac:dyDescent="0.2">
      <c r="A1490" s="73">
        <v>159</v>
      </c>
      <c r="B1490" s="61">
        <f>Obv!C34</f>
        <v>23</v>
      </c>
      <c r="C1490" s="61">
        <f>Obv!D34</f>
        <v>0</v>
      </c>
      <c r="D1490" s="61">
        <v>0</v>
      </c>
      <c r="E1490" s="61">
        <v>0</v>
      </c>
      <c r="F1490" s="61">
        <v>0</v>
      </c>
      <c r="G1490" s="59">
        <f t="shared" si="51"/>
        <v>0</v>
      </c>
      <c r="H1490" s="59">
        <f t="shared" si="52"/>
        <v>0</v>
      </c>
      <c r="I1490" s="60"/>
    </row>
    <row r="1491" spans="1:9" x14ac:dyDescent="0.2">
      <c r="A1491" s="73">
        <v>159</v>
      </c>
      <c r="B1491" s="61">
        <f>Obv!C35</f>
        <v>24</v>
      </c>
      <c r="C1491" s="61">
        <f>Obv!D35</f>
        <v>47573</v>
      </c>
      <c r="D1491" s="61">
        <v>0</v>
      </c>
      <c r="E1491" s="61">
        <v>0</v>
      </c>
      <c r="F1491" s="61">
        <v>0</v>
      </c>
      <c r="G1491" s="59">
        <f t="shared" si="51"/>
        <v>1141.752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0</v>
      </c>
      <c r="D1503" s="61">
        <v>0</v>
      </c>
      <c r="E1503" s="61">
        <v>0</v>
      </c>
      <c r="F1503" s="61">
        <v>0</v>
      </c>
      <c r="G1503" s="59">
        <f t="shared" si="53"/>
        <v>0</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0</v>
      </c>
      <c r="D1557" s="61">
        <v>0</v>
      </c>
      <c r="E1557" s="61">
        <v>0</v>
      </c>
      <c r="F1557" s="61">
        <v>0</v>
      </c>
      <c r="G1557" s="59">
        <f t="shared" si="55"/>
        <v>0</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0</v>
      </c>
      <c r="D1559" s="61">
        <v>0</v>
      </c>
      <c r="E1559" s="61">
        <v>0</v>
      </c>
      <c r="F1559" s="61">
        <v>0</v>
      </c>
      <c r="G1559" s="59">
        <f t="shared" si="55"/>
        <v>0</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19:C19"/>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8"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3" t="s">
        <v>1561</v>
      </c>
      <c r="B1" s="374"/>
      <c r="C1" s="356" t="s">
        <v>2063</v>
      </c>
      <c r="D1" s="356"/>
      <c r="E1" s="356" t="s">
        <v>2064</v>
      </c>
      <c r="F1" s="356"/>
      <c r="G1" s="356" t="s">
        <v>2065</v>
      </c>
      <c r="H1" s="356"/>
      <c r="I1" s="356"/>
      <c r="J1" s="356" t="s">
        <v>1740</v>
      </c>
      <c r="K1" s="357"/>
    </row>
    <row r="2" spans="1:11" ht="32.1" customHeight="1" x14ac:dyDescent="0.2">
      <c r="A2" s="18"/>
      <c r="B2" s="18"/>
      <c r="C2" s="18"/>
      <c r="D2" s="18"/>
      <c r="E2" s="18"/>
      <c r="F2" s="18"/>
      <c r="H2" s="102">
        <f>LOOKUP(B22,A107:A663,C107:C663)</f>
        <v>14</v>
      </c>
      <c r="I2" s="18"/>
      <c r="J2" s="358" t="s">
        <v>3715</v>
      </c>
      <c r="K2" s="358"/>
    </row>
    <row r="3" spans="1:11" ht="5.0999999999999996" customHeight="1" x14ac:dyDescent="0.2">
      <c r="B3" s="4"/>
      <c r="C3" s="4"/>
      <c r="D3" s="4"/>
      <c r="E3" s="4"/>
      <c r="F3" s="4"/>
      <c r="G3" s="4"/>
      <c r="H3" s="4"/>
      <c r="I3" s="4"/>
    </row>
    <row r="4" spans="1:11" ht="35.1" customHeight="1" x14ac:dyDescent="0.4">
      <c r="A4" s="359" t="s">
        <v>3518</v>
      </c>
      <c r="B4" s="359"/>
      <c r="C4" s="359"/>
      <c r="D4" s="359"/>
      <c r="E4" s="359"/>
      <c r="F4" s="359"/>
      <c r="G4" s="359"/>
      <c r="H4" s="359"/>
      <c r="I4" s="359"/>
      <c r="J4" s="359"/>
      <c r="K4" s="359"/>
    </row>
    <row r="5" spans="1:11" ht="39.950000000000003" customHeight="1" x14ac:dyDescent="0.2">
      <c r="A5" s="351" t="str">
        <f>IF(AND(K10&lt;&gt;"",K12&lt;&gt;""), "za razdoblje: " &amp; TEXT(K10, "d. mmmm yyyy.") &amp; "   –   " &amp; TEXT(K12, "d. mmmm yyyy."),"za razdoblje od ________________ do ______________")</f>
        <v>za razdoblje: 1. siječanj 2018.   –   31. prosinac 2018.</v>
      </c>
      <c r="B5" s="351"/>
      <c r="C5" s="351"/>
      <c r="D5" s="351"/>
      <c r="E5" s="351"/>
      <c r="F5" s="351"/>
      <c r="G5" s="351"/>
      <c r="H5" s="351"/>
      <c r="I5" s="351"/>
      <c r="J5" s="351"/>
      <c r="K5" s="351"/>
    </row>
    <row r="6" spans="1:11" ht="15" customHeight="1" x14ac:dyDescent="0.2">
      <c r="A6" s="22" t="s">
        <v>3124</v>
      </c>
      <c r="B6" s="26">
        <v>21300</v>
      </c>
      <c r="C6" s="12"/>
      <c r="D6" s="363" t="s">
        <v>3128</v>
      </c>
      <c r="E6" s="364"/>
      <c r="F6" s="15" t="s">
        <v>237</v>
      </c>
      <c r="G6" s="12"/>
      <c r="H6" s="12"/>
      <c r="I6" s="12"/>
      <c r="J6" s="352">
        <f>SUM(Skriveni!G2:G1561)</f>
        <v>135984485.11100003</v>
      </c>
      <c r="K6" s="352"/>
    </row>
    <row r="7" spans="1:11" ht="3" customHeight="1" x14ac:dyDescent="0.2">
      <c r="A7" s="12"/>
      <c r="B7" s="12"/>
      <c r="C7" s="12"/>
      <c r="D7" s="12"/>
      <c r="E7" s="12"/>
      <c r="F7" s="12"/>
      <c r="G7" s="12"/>
      <c r="H7" s="12"/>
      <c r="I7" s="12"/>
      <c r="J7" s="12"/>
      <c r="K7" s="12"/>
    </row>
    <row r="8" spans="1:11" ht="15" customHeight="1" x14ac:dyDescent="0.2">
      <c r="A8" s="22" t="s">
        <v>3125</v>
      </c>
      <c r="B8" s="27">
        <v>3357368</v>
      </c>
      <c r="C8" s="392" t="s">
        <v>860</v>
      </c>
      <c r="D8" s="393"/>
      <c r="E8" s="393"/>
      <c r="F8" s="393"/>
      <c r="G8" s="393"/>
      <c r="H8" s="394"/>
      <c r="I8" s="167" t="s">
        <v>867</v>
      </c>
      <c r="J8" s="353" t="s">
        <v>3132</v>
      </c>
      <c r="K8" s="353"/>
    </row>
    <row r="9" spans="1:11" ht="3" customHeight="1" x14ac:dyDescent="0.2">
      <c r="A9" s="12"/>
      <c r="B9" s="12"/>
      <c r="C9" s="12"/>
      <c r="D9" s="12"/>
      <c r="E9" s="12"/>
      <c r="F9" s="12"/>
      <c r="G9" s="12"/>
      <c r="H9" s="12"/>
      <c r="I9" s="12"/>
      <c r="J9" s="12"/>
      <c r="K9" s="12"/>
    </row>
    <row r="10" spans="1:11" ht="15" customHeight="1" x14ac:dyDescent="0.2">
      <c r="A10" s="22" t="s">
        <v>3126</v>
      </c>
      <c r="B10" s="384" t="s">
        <v>4293</v>
      </c>
      <c r="C10" s="385"/>
      <c r="D10" s="385"/>
      <c r="E10" s="385"/>
      <c r="F10" s="385"/>
      <c r="G10" s="385"/>
      <c r="H10" s="385"/>
      <c r="I10" s="38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31300</v>
      </c>
      <c r="C12" s="360" t="s">
        <v>3777</v>
      </c>
      <c r="D12" s="361"/>
      <c r="E12" s="361"/>
      <c r="F12" s="361"/>
      <c r="G12" s="362"/>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65" t="s">
        <v>4294</v>
      </c>
      <c r="C14" s="366"/>
      <c r="D14" s="366"/>
      <c r="E14" s="366"/>
      <c r="F14" s="366"/>
      <c r="G14" s="367"/>
      <c r="H14" s="12"/>
      <c r="I14" s="12"/>
      <c r="J14" s="22" t="s">
        <v>3764</v>
      </c>
      <c r="K14" s="45">
        <v>70655877361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4" t="str">
        <f xml:space="preserve"> IF(B18&gt;0,LOOKUP(B18,Sifre!A255:A869,Sifre!B255:B869),"Djelatnost nije upisana")</f>
        <v>Osnovno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v>
      </c>
      <c r="C22" s="354" t="str">
        <f>IF(B22&gt;0, "Županija: " &amp; LOOKUP(H2,A83:A103,B83:B103) &amp; ", grad/općina: " &amp; LOOKUP(B22,A107:A663,B107:B663),"Šifra grada/općine nije upisana")</f>
        <v>Županija: OSIJEČKO-BARANJSKA, grad/općina: BELI MANASTIR</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96" t="s">
        <v>1978</v>
      </c>
      <c r="E24" s="397"/>
      <c r="F24" s="397"/>
      <c r="G24" s="12"/>
      <c r="H24" s="12"/>
      <c r="I24" s="12"/>
      <c r="J24" s="12"/>
      <c r="K24" s="12"/>
    </row>
    <row r="25" spans="1:11" ht="15" customHeight="1" x14ac:dyDescent="0.2">
      <c r="A25" s="407" t="s">
        <v>1462</v>
      </c>
      <c r="B25" s="39" t="str">
        <f>IF(SUM(Skriveni!C2:F642)=0,"NE", "DA")</f>
        <v>DA</v>
      </c>
      <c r="C25" s="371" t="s">
        <v>818</v>
      </c>
      <c r="D25" s="398"/>
      <c r="E25" s="82" t="str">
        <f>IF(AND(B25="DA",Kont!E23&gt;0),Kont!E23,"Nema")</f>
        <v>Nema</v>
      </c>
      <c r="F25" s="12"/>
      <c r="G25" s="22" t="s">
        <v>3680</v>
      </c>
      <c r="H25" s="376" t="s">
        <v>4295</v>
      </c>
      <c r="I25" s="395"/>
      <c r="J25" s="395"/>
      <c r="K25" s="377"/>
    </row>
    <row r="26" spans="1:11" ht="3" customHeight="1" x14ac:dyDescent="0.2">
      <c r="A26" s="408"/>
      <c r="B26" s="32"/>
      <c r="C26" s="33"/>
      <c r="D26" s="34"/>
      <c r="E26" s="35"/>
      <c r="G26" s="13"/>
      <c r="H26" s="12"/>
      <c r="I26" s="12"/>
      <c r="J26" s="12"/>
      <c r="K26" s="12"/>
    </row>
    <row r="27" spans="1:11" ht="15" customHeight="1" x14ac:dyDescent="0.2">
      <c r="A27" s="408"/>
      <c r="B27" s="39" t="str">
        <f>IF(SUM(Skriveni!C977:D1225)&lt;&gt;0,"DA","NE")</f>
        <v>DA</v>
      </c>
      <c r="C27" s="371" t="s">
        <v>2601</v>
      </c>
      <c r="D27" s="372"/>
      <c r="E27" s="82" t="str">
        <f>IF(AND(B27="DA",Kont!E261&gt;0),Kont!E261,"Nema")</f>
        <v>Nema</v>
      </c>
      <c r="F27" s="12"/>
      <c r="G27" s="22" t="s">
        <v>3681</v>
      </c>
      <c r="H27" s="376" t="s">
        <v>4296</v>
      </c>
      <c r="I27" s="377"/>
      <c r="J27" s="13" t="s">
        <v>1447</v>
      </c>
      <c r="K27" s="15" t="s">
        <v>4297</v>
      </c>
    </row>
    <row r="28" spans="1:11" ht="3" customHeight="1" x14ac:dyDescent="0.2">
      <c r="A28" s="408"/>
      <c r="F28" s="12"/>
      <c r="G28" s="12"/>
      <c r="H28" s="12"/>
      <c r="I28" s="12"/>
      <c r="J28" s="12"/>
      <c r="K28" s="12"/>
    </row>
    <row r="29" spans="1:11" ht="15" customHeight="1" x14ac:dyDescent="0.2">
      <c r="A29" s="408"/>
      <c r="B29" s="39" t="str">
        <f>IF(SUM(Skriveni!C1287:D1422)&lt;&gt;0,"DA","NE")</f>
        <v>DA</v>
      </c>
      <c r="C29" s="399" t="s">
        <v>819</v>
      </c>
      <c r="D29" s="400"/>
      <c r="E29" s="82" t="str">
        <f>IF(AND(B29="DA",Kont!E297&gt;0),Kont!E297,"Nema")</f>
        <v>Nema</v>
      </c>
      <c r="F29" s="12"/>
      <c r="G29" s="22" t="s">
        <v>1448</v>
      </c>
      <c r="H29" s="368" t="s">
        <v>4298</v>
      </c>
      <c r="I29" s="369"/>
      <c r="J29" s="369"/>
      <c r="K29" s="370"/>
    </row>
    <row r="30" spans="1:11" ht="3" customHeight="1" x14ac:dyDescent="0.2">
      <c r="A30" s="408"/>
      <c r="B30" s="32"/>
      <c r="C30" s="33"/>
      <c r="D30" s="34"/>
      <c r="E30" s="35"/>
      <c r="F30" s="12"/>
      <c r="G30" s="12"/>
      <c r="H30" s="12"/>
      <c r="I30" s="12"/>
      <c r="J30" s="12"/>
      <c r="K30" s="12"/>
    </row>
    <row r="31" spans="1:11" ht="15" customHeight="1" x14ac:dyDescent="0.2">
      <c r="A31" s="408"/>
      <c r="B31" s="183" t="s">
        <v>4300</v>
      </c>
      <c r="C31" s="371" t="s">
        <v>1591</v>
      </c>
      <c r="D31" s="372"/>
      <c r="E31" s="82" t="str">
        <f>IF(Kont!E292&gt;0,Kont!E292,"Nema")</f>
        <v>Nema</v>
      </c>
      <c r="F31" s="12"/>
      <c r="G31" s="13" t="s">
        <v>1449</v>
      </c>
      <c r="H31" s="368" t="s">
        <v>4298</v>
      </c>
      <c r="I31" s="369"/>
      <c r="J31" s="369"/>
      <c r="K31" s="370"/>
    </row>
    <row r="32" spans="1:11" ht="3" customHeight="1" x14ac:dyDescent="0.2">
      <c r="A32" s="408"/>
      <c r="B32" s="32"/>
      <c r="C32" s="33"/>
      <c r="D32" s="34"/>
      <c r="E32" s="35"/>
      <c r="F32" s="12"/>
      <c r="G32" s="12"/>
      <c r="H32" s="12"/>
      <c r="I32" s="12"/>
      <c r="J32" s="12"/>
      <c r="K32" s="12"/>
    </row>
    <row r="33" spans="1:11" ht="15" customHeight="1" x14ac:dyDescent="0.2">
      <c r="A33" s="409"/>
      <c r="B33" s="39" t="str">
        <f>IF(SUM(Skriveni!C1468:C1550)&lt;&gt;0,"DA","NE")</f>
        <v>DA</v>
      </c>
      <c r="C33" s="379" t="s">
        <v>1210</v>
      </c>
      <c r="D33" s="380"/>
      <c r="E33" s="82" t="str">
        <f>IF(AND(B33="DA",Kont!E288&gt;0),Kont!E288,"Nema")</f>
        <v>Nema</v>
      </c>
      <c r="F33" s="12"/>
      <c r="G33" s="22" t="s">
        <v>735</v>
      </c>
      <c r="H33" s="365" t="s">
        <v>4299</v>
      </c>
      <c r="I33" s="366"/>
      <c r="J33" s="366"/>
      <c r="K33" s="36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1" t="str">
        <f>IF(Kont!E3&gt;0,"Izvještaj sadrži pogreške, broj pogrešaka: " &amp; Kont!E3,IF(J6=0,"Izvještaj je prazan","Izvještaj nema pogrešaka"))</f>
        <v>Izvještaj nema pogrešaka</v>
      </c>
      <c r="I35" s="402"/>
      <c r="J35" s="402"/>
      <c r="K35" s="40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8" t="s">
        <v>2060</v>
      </c>
      <c r="C38" s="378"/>
      <c r="D38" s="378"/>
      <c r="E38" s="378"/>
      <c r="F38" s="378"/>
      <c r="G38" s="378"/>
      <c r="H38" s="378"/>
      <c r="I38" s="109" t="s">
        <v>1683</v>
      </c>
      <c r="J38" s="110" t="s">
        <v>1685</v>
      </c>
      <c r="K38" s="111" t="s">
        <v>1684</v>
      </c>
    </row>
    <row r="39" spans="1:11" ht="12.95" customHeight="1" x14ac:dyDescent="0.2">
      <c r="A39" s="404" t="s">
        <v>3714</v>
      </c>
      <c r="B39" s="390" t="str">
        <f>PRRAS!B12</f>
        <v xml:space="preserve">PRIHODI POSLOVANJA (AOP 002+039+045+074+105+123+130+136) </v>
      </c>
      <c r="C39" s="390"/>
      <c r="D39" s="390"/>
      <c r="E39" s="390"/>
      <c r="F39" s="390"/>
      <c r="G39" s="390"/>
      <c r="H39" s="390"/>
      <c r="I39" s="112">
        <f>PRRAS!C12</f>
        <v>1</v>
      </c>
      <c r="J39" s="113">
        <f>PRRAS!D12</f>
        <v>7317337</v>
      </c>
      <c r="K39" s="114">
        <f>PRRAS!E12</f>
        <v>7706524</v>
      </c>
    </row>
    <row r="40" spans="1:11" ht="12.95" customHeight="1" x14ac:dyDescent="0.2">
      <c r="A40" s="405"/>
      <c r="B40" s="375" t="str">
        <f>PRRAS!B159</f>
        <v xml:space="preserve">RASHODI POSLOVANJA (AOP 149+160+193+212+221+246+257) </v>
      </c>
      <c r="C40" s="387"/>
      <c r="D40" s="387"/>
      <c r="E40" s="387"/>
      <c r="F40" s="387"/>
      <c r="G40" s="387"/>
      <c r="H40" s="387"/>
      <c r="I40" s="115">
        <f>PRRAS!C159</f>
        <v>148</v>
      </c>
      <c r="J40" s="116">
        <f>PRRAS!D159</f>
        <v>7346787</v>
      </c>
      <c r="K40" s="117">
        <f>PRRAS!E159</f>
        <v>7718092</v>
      </c>
    </row>
    <row r="41" spans="1:11" ht="12.95" customHeight="1" x14ac:dyDescent="0.2">
      <c r="A41" s="405"/>
      <c r="B41" s="375" t="str">
        <f>PRRAS!B648</f>
        <v>Višak prihoda i primitaka raspoloživ u sljedećem razdoblju (AOP 631+633-632-634)</v>
      </c>
      <c r="C41" s="387"/>
      <c r="D41" s="387"/>
      <c r="E41" s="387"/>
      <c r="F41" s="387"/>
      <c r="G41" s="387"/>
      <c r="H41" s="387"/>
      <c r="I41" s="115">
        <f>PRRAS!C648</f>
        <v>635</v>
      </c>
      <c r="J41" s="116">
        <f>PRRAS!D648</f>
        <v>0</v>
      </c>
      <c r="K41" s="117">
        <f>PRRAS!E648</f>
        <v>0</v>
      </c>
    </row>
    <row r="42" spans="1:11" ht="12.95" customHeight="1" x14ac:dyDescent="0.2">
      <c r="A42" s="406"/>
      <c r="B42" s="388" t="str">
        <f>PRRAS!B649</f>
        <v>Manjak prihoda i primitaka za pokriće u sljedećem razdoblju (AOP 632+634-631-633)</v>
      </c>
      <c r="C42" s="389"/>
      <c r="D42" s="389"/>
      <c r="E42" s="389"/>
      <c r="F42" s="389"/>
      <c r="G42" s="389"/>
      <c r="H42" s="389"/>
      <c r="I42" s="118">
        <f>PRRAS!C649</f>
        <v>636</v>
      </c>
      <c r="J42" s="119">
        <f>PRRAS!D649</f>
        <v>60885</v>
      </c>
      <c r="K42" s="120">
        <f>PRRAS!E649</f>
        <v>47573</v>
      </c>
    </row>
    <row r="43" spans="1:11" ht="12.95" customHeight="1" x14ac:dyDescent="0.2">
      <c r="A43" s="404" t="s">
        <v>2272</v>
      </c>
      <c r="B43" s="390" t="str">
        <f>Bil!B13</f>
        <v>Nefinancijska imovina (AOP 003+007+046+047+051+058)</v>
      </c>
      <c r="C43" s="391"/>
      <c r="D43" s="391"/>
      <c r="E43" s="391"/>
      <c r="F43" s="391"/>
      <c r="G43" s="391"/>
      <c r="H43" s="391"/>
      <c r="I43" s="112">
        <f>Bil!C13</f>
        <v>2</v>
      </c>
      <c r="J43" s="113">
        <f>Bil!D13</f>
        <v>4008333</v>
      </c>
      <c r="K43" s="114">
        <f>Bil!E13</f>
        <v>3837674</v>
      </c>
    </row>
    <row r="44" spans="1:11" ht="12.95" customHeight="1" x14ac:dyDescent="0.2">
      <c r="A44" s="405"/>
      <c r="B44" s="375" t="str">
        <f>Bil!B74</f>
        <v>Financijska imovina (AOP 064+073+081+112+128+140+157+158)</v>
      </c>
      <c r="C44" s="387"/>
      <c r="D44" s="387"/>
      <c r="E44" s="387"/>
      <c r="F44" s="387"/>
      <c r="G44" s="387"/>
      <c r="H44" s="387"/>
      <c r="I44" s="115">
        <f>Bil!C74</f>
        <v>63</v>
      </c>
      <c r="J44" s="116">
        <f>Bil!D74</f>
        <v>20190</v>
      </c>
      <c r="K44" s="117">
        <f>Bil!E74</f>
        <v>56592</v>
      </c>
    </row>
    <row r="45" spans="1:11" ht="12.95" customHeight="1" x14ac:dyDescent="0.2">
      <c r="A45" s="405"/>
      <c r="B45" s="375" t="str">
        <f>Bil!B174</f>
        <v xml:space="preserve">Obveze (AOP 164+175+176+192+220) </v>
      </c>
      <c r="C45" s="387"/>
      <c r="D45" s="387"/>
      <c r="E45" s="387"/>
      <c r="F45" s="387"/>
      <c r="G45" s="387"/>
      <c r="H45" s="387"/>
      <c r="I45" s="115">
        <f>Bil!C174</f>
        <v>163</v>
      </c>
      <c r="J45" s="116">
        <f>Bil!D174</f>
        <v>90691</v>
      </c>
      <c r="K45" s="117">
        <f>Bil!E174</f>
        <v>80556</v>
      </c>
    </row>
    <row r="46" spans="1:11" ht="12.95" customHeight="1" x14ac:dyDescent="0.2">
      <c r="A46" s="406"/>
      <c r="B46" s="388" t="str">
        <f>Bil!B234</f>
        <v>Vlastiti izvori (224 + 232 - 236 + 240 do 242)</v>
      </c>
      <c r="C46" s="389"/>
      <c r="D46" s="389"/>
      <c r="E46" s="389"/>
      <c r="F46" s="389"/>
      <c r="G46" s="389"/>
      <c r="H46" s="389"/>
      <c r="I46" s="118">
        <f>Bil!C234</f>
        <v>223</v>
      </c>
      <c r="J46" s="119">
        <f>Bil!D234</f>
        <v>3937832</v>
      </c>
      <c r="K46" s="120">
        <f>Bil!E234</f>
        <v>3813710</v>
      </c>
    </row>
    <row r="47" spans="1:11" ht="12.95" customHeight="1" x14ac:dyDescent="0.2">
      <c r="A47" s="404" t="s">
        <v>2270</v>
      </c>
      <c r="B47" s="390" t="str">
        <f>RasF!B12</f>
        <v>Opće javne usluge (AOP 002+006+009+013 do 017)</v>
      </c>
      <c r="C47" s="390"/>
      <c r="D47" s="390"/>
      <c r="E47" s="390"/>
      <c r="F47" s="390"/>
      <c r="G47" s="390"/>
      <c r="H47" s="390"/>
      <c r="I47" s="112">
        <f>RasF!C12</f>
        <v>1</v>
      </c>
      <c r="J47" s="113">
        <f>RasF!D12</f>
        <v>0</v>
      </c>
      <c r="K47" s="114">
        <f>RasF!E12</f>
        <v>0</v>
      </c>
    </row>
    <row r="48" spans="1:11" ht="12.95" customHeight="1" x14ac:dyDescent="0.2">
      <c r="A48" s="405"/>
      <c r="B48" s="375" t="str">
        <f>RasF!B42</f>
        <v>Ekonomski poslovi (AOP 032+035+039+046+050+056+057+062+070)</v>
      </c>
      <c r="C48" s="375"/>
      <c r="D48" s="375"/>
      <c r="E48" s="375"/>
      <c r="F48" s="375"/>
      <c r="G48" s="375"/>
      <c r="H48" s="375"/>
      <c r="I48" s="115">
        <f>RasF!C42</f>
        <v>31</v>
      </c>
      <c r="J48" s="116">
        <f>RasF!D42</f>
        <v>0</v>
      </c>
      <c r="K48" s="117">
        <f>RasF!E42</f>
        <v>0</v>
      </c>
    </row>
    <row r="49" spans="1:11" ht="12.95" customHeight="1" x14ac:dyDescent="0.2">
      <c r="A49" s="405"/>
      <c r="B49" s="375" t="str">
        <f>RasF!B95</f>
        <v>Rashodi vezani za stanovanje i kom. pogodnosti koji nisu drugdje svrstani</v>
      </c>
      <c r="C49" s="375"/>
      <c r="D49" s="375"/>
      <c r="E49" s="375"/>
      <c r="F49" s="375"/>
      <c r="G49" s="375"/>
      <c r="H49" s="375"/>
      <c r="I49" s="115">
        <f>RasF!C95</f>
        <v>84</v>
      </c>
      <c r="J49" s="116">
        <f>RasF!D95</f>
        <v>0</v>
      </c>
      <c r="K49" s="117">
        <f>RasF!E95</f>
        <v>0</v>
      </c>
    </row>
    <row r="50" spans="1:11" ht="12.95" customHeight="1" x14ac:dyDescent="0.2">
      <c r="A50" s="405"/>
      <c r="B50" s="375" t="str">
        <f>RasF!B121</f>
        <v>Obrazovanje (AOP 111+114+117+118+121 do 124)</v>
      </c>
      <c r="C50" s="375"/>
      <c r="D50" s="375"/>
      <c r="E50" s="375"/>
      <c r="F50" s="375"/>
      <c r="G50" s="375"/>
      <c r="H50" s="375"/>
      <c r="I50" s="115">
        <f>RasF!C121</f>
        <v>110</v>
      </c>
      <c r="J50" s="116">
        <f>RasF!D121</f>
        <v>7378222</v>
      </c>
      <c r="K50" s="117">
        <f>RasF!E121</f>
        <v>7754097</v>
      </c>
    </row>
    <row r="51" spans="1:11" ht="12.95" customHeight="1" x14ac:dyDescent="0.2">
      <c r="A51" s="406"/>
      <c r="B51" s="388" t="str">
        <f>RasF!B148</f>
        <v>Kontrolni zbroj (AOP 001+018+024+031+071+078+085+103+110+125)</v>
      </c>
      <c r="C51" s="388"/>
      <c r="D51" s="388"/>
      <c r="E51" s="388"/>
      <c r="F51" s="388"/>
      <c r="G51" s="388"/>
      <c r="H51" s="388"/>
      <c r="I51" s="118">
        <f>RasF!C148</f>
        <v>137</v>
      </c>
      <c r="J51" s="119">
        <f>RasF!D148</f>
        <v>7378222</v>
      </c>
      <c r="K51" s="120">
        <f>RasF!E148</f>
        <v>7754097</v>
      </c>
    </row>
    <row r="52" spans="1:11" ht="12.95" customHeight="1" x14ac:dyDescent="0.2">
      <c r="A52" s="404" t="s">
        <v>2271</v>
      </c>
      <c r="B52" s="391" t="str">
        <f>PVRIO!B12</f>
        <v>Promjene u vrijednosti i obujmu imovine (AOP 002+018)</v>
      </c>
      <c r="C52" s="391"/>
      <c r="D52" s="391"/>
      <c r="E52" s="391"/>
      <c r="F52" s="391"/>
      <c r="G52" s="391"/>
      <c r="H52" s="391"/>
      <c r="I52" s="112">
        <f>PVRIO!C12</f>
        <v>1</v>
      </c>
      <c r="J52" s="113">
        <f>PVRIO!D12</f>
        <v>0</v>
      </c>
      <c r="K52" s="114">
        <f>PVRIO!E12</f>
        <v>0</v>
      </c>
    </row>
    <row r="53" spans="1:11" ht="12.95" customHeight="1" x14ac:dyDescent="0.2">
      <c r="A53" s="405"/>
      <c r="B53" s="387" t="str">
        <f>PVRIO!B29</f>
        <v>Promjene u obujmu imovine (AOP 019+026)</v>
      </c>
      <c r="C53" s="387"/>
      <c r="D53" s="387"/>
      <c r="E53" s="387"/>
      <c r="F53" s="387"/>
      <c r="G53" s="387"/>
      <c r="H53" s="387"/>
      <c r="I53" s="115">
        <f>PVRIO!C29</f>
        <v>18</v>
      </c>
      <c r="J53" s="116">
        <f>PVRIO!D29</f>
        <v>0</v>
      </c>
      <c r="K53" s="117">
        <f>PVRIO!E29</f>
        <v>0</v>
      </c>
    </row>
    <row r="54" spans="1:11" ht="12.95" customHeight="1" x14ac:dyDescent="0.2">
      <c r="A54" s="405"/>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5" customHeight="1" x14ac:dyDescent="0.2">
      <c r="A55" s="406"/>
      <c r="B55" s="389" t="str">
        <f>PVRIO!B51</f>
        <v>Promjene u obujmu obveza (AOP 041 do 044)</v>
      </c>
      <c r="C55" s="389"/>
      <c r="D55" s="389"/>
      <c r="E55" s="389"/>
      <c r="F55" s="389"/>
      <c r="G55" s="389"/>
      <c r="H55" s="389"/>
      <c r="I55" s="118">
        <f>PVRIO!C51</f>
        <v>40</v>
      </c>
      <c r="J55" s="119">
        <f>PVRIO!D51</f>
        <v>0</v>
      </c>
      <c r="K55" s="120">
        <f>PVRIO!E51</f>
        <v>0</v>
      </c>
    </row>
    <row r="56" spans="1:11" ht="12.95" customHeight="1" x14ac:dyDescent="0.2">
      <c r="A56" s="404" t="s">
        <v>2273</v>
      </c>
      <c r="B56" s="391" t="str">
        <f>Obv!B12</f>
        <v>Stanje obveza 1. siječnja (=AOP 036* iz Izvještaja o obvezama za prethodnu godinu)</v>
      </c>
      <c r="C56" s="391"/>
      <c r="D56" s="391"/>
      <c r="E56" s="391"/>
      <c r="F56" s="391"/>
      <c r="G56" s="391"/>
      <c r="H56" s="391"/>
      <c r="I56" s="112">
        <f>Obv!C12</f>
        <v>1</v>
      </c>
      <c r="J56" s="113" t="s">
        <v>3568</v>
      </c>
      <c r="K56" s="114">
        <f>Obv!D12</f>
        <v>0</v>
      </c>
    </row>
    <row r="57" spans="1:11" ht="12.95" customHeight="1" x14ac:dyDescent="0.2">
      <c r="A57" s="405"/>
      <c r="B57" s="375" t="str">
        <f>Obv!B47</f>
        <v>Stanje obveza na kraju izvještajnog razdoblja (AOP 001+002-019) i (AOP 037+090)</v>
      </c>
      <c r="C57" s="375"/>
      <c r="D57" s="375"/>
      <c r="E57" s="375"/>
      <c r="F57" s="375"/>
      <c r="G57" s="375"/>
      <c r="H57" s="375"/>
      <c r="I57" s="115">
        <f>Obv!C47</f>
        <v>36</v>
      </c>
      <c r="J57" s="116" t="s">
        <v>3568</v>
      </c>
      <c r="K57" s="117">
        <f>Obv!D47</f>
        <v>0</v>
      </c>
    </row>
    <row r="58" spans="1:11" ht="12.95" customHeight="1" x14ac:dyDescent="0.2">
      <c r="A58" s="405"/>
      <c r="B58" s="375" t="str">
        <f>Obv!B48</f>
        <v>Stanje dospjelih obveza na kraju izvještajnog razdoblja (AOP 038+043+079+084)</v>
      </c>
      <c r="C58" s="375"/>
      <c r="D58" s="375"/>
      <c r="E58" s="375"/>
      <c r="F58" s="375"/>
      <c r="G58" s="375"/>
      <c r="H58" s="375"/>
      <c r="I58" s="115">
        <f>Obv!C48</f>
        <v>37</v>
      </c>
      <c r="J58" s="116" t="s">
        <v>3568</v>
      </c>
      <c r="K58" s="117">
        <f>Obv!D48</f>
        <v>0</v>
      </c>
    </row>
    <row r="59" spans="1:11" ht="12.95" customHeight="1" x14ac:dyDescent="0.2">
      <c r="A59" s="406"/>
      <c r="B59" s="388" t="str">
        <f>Obv!B101</f>
        <v>Stanje nedospjelih obveza na kraju izvještajnog razdoblja (AOP 091 do 094)</v>
      </c>
      <c r="C59" s="388"/>
      <c r="D59" s="388"/>
      <c r="E59" s="388"/>
      <c r="F59" s="388"/>
      <c r="G59" s="388"/>
      <c r="H59" s="388"/>
      <c r="I59" s="118">
        <f>Obv!C101</f>
        <v>90</v>
      </c>
      <c r="J59" s="119" t="s">
        <v>3568</v>
      </c>
      <c r="K59" s="120">
        <f>Obv!D101</f>
        <v>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81" t="s">
        <v>3716</v>
      </c>
      <c r="B63" s="381"/>
      <c r="C63" s="381"/>
      <c r="D63" s="381"/>
      <c r="E63" s="16"/>
      <c r="F63" s="21"/>
      <c r="G63" s="16"/>
      <c r="H63" s="382" t="s">
        <v>3135</v>
      </c>
      <c r="I63" s="383"/>
      <c r="J63" s="383"/>
      <c r="K63" s="38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H33:K33"/>
    <mergeCell ref="H29:K29"/>
    <mergeCell ref="C31:D31"/>
    <mergeCell ref="C27:D27"/>
    <mergeCell ref="J1:K1"/>
    <mergeCell ref="G1:I1"/>
    <mergeCell ref="E1:F1"/>
    <mergeCell ref="C1:D1"/>
    <mergeCell ref="J2:K2"/>
    <mergeCell ref="A5:K5"/>
    <mergeCell ref="J6:K6"/>
    <mergeCell ref="J8:K8"/>
    <mergeCell ref="C18:K18"/>
    <mergeCell ref="C20:K20"/>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701" sqref="D701"/>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5" t="s">
        <v>2788</v>
      </c>
      <c r="B1" s="416"/>
      <c r="C1" s="419" t="s">
        <v>3382</v>
      </c>
      <c r="D1" s="420"/>
      <c r="E1" s="420"/>
      <c r="F1" s="420"/>
    </row>
    <row r="2" spans="1:7" s="23" customFormat="1" ht="39.950000000000003" customHeight="1" thickBot="1" x14ac:dyDescent="0.25">
      <c r="A2" s="421" t="s">
        <v>2050</v>
      </c>
      <c r="B2" s="414"/>
      <c r="C2" s="414"/>
      <c r="D2" s="422"/>
      <c r="E2" s="417" t="s">
        <v>869</v>
      </c>
      <c r="F2" s="418"/>
    </row>
    <row r="3" spans="1:7" s="283" customFormat="1" ht="30" customHeight="1" x14ac:dyDescent="0.2">
      <c r="A3" s="413" t="str">
        <f>"za razdoblje "&amp;IF(RefStr!K10="","________________",TEXT(RefStr!K10,"d.mmmm yyyy.")&amp;" do "&amp;IF(RefStr!K12="","______________",TEXT(RefStr!K12,"d. mmmm yyyy.")))</f>
        <v>za razdoblje 1.siječanj 2018. do 31. prosinac 2018.</v>
      </c>
      <c r="B3" s="414"/>
      <c r="C3" s="414"/>
      <c r="D3" s="414"/>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21300</v>
      </c>
      <c r="C4" s="429"/>
      <c r="D4" s="429"/>
      <c r="E4" s="430">
        <f>SUM(Skriveni!G2:G976)</f>
        <v>111876524.81300001</v>
      </c>
      <c r="F4" s="431"/>
    </row>
    <row r="5" spans="1:7" s="23" customFormat="1" ht="15" customHeight="1" x14ac:dyDescent="0.2">
      <c r="B5" s="428" t="str">
        <f>"Naziv: "&amp;IF(RefStr!B10&lt;&gt;"",RefStr!B10,"_______________________________________")</f>
        <v>Naziv: OŠ ŠEĆERANA-ŠEĆERANA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4" t="s">
        <v>908</v>
      </c>
      <c r="B11" s="425"/>
      <c r="C11" s="348"/>
      <c r="D11" s="143"/>
      <c r="E11" s="143"/>
      <c r="F11" s="144"/>
    </row>
    <row r="12" spans="1:7" s="8" customFormat="1" x14ac:dyDescent="0.2">
      <c r="A12" s="145">
        <v>6</v>
      </c>
      <c r="B12" s="146" t="s">
        <v>909</v>
      </c>
      <c r="C12" s="345">
        <v>1</v>
      </c>
      <c r="D12" s="147">
        <f>D13+D50+D56+D85+D116+D134+D141+D147</f>
        <v>7317337</v>
      </c>
      <c r="E12" s="147">
        <f>E13+E50+E56+E85+E116+E134+E141+E147</f>
        <v>7706524</v>
      </c>
      <c r="F12" s="148">
        <f>IF(D12&lt;&gt;0,IF(E12/D12&gt;=100,"&gt;&gt;100",E12/D12*100),"-")</f>
        <v>105.31869722550704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6070443</v>
      </c>
      <c r="E56" s="147">
        <f>E57+E60+E65+E68+E71+E74+E77+E80</f>
        <v>6317950</v>
      </c>
      <c r="F56" s="150">
        <f t="shared" si="0"/>
        <v>104.07724773958013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6070443</v>
      </c>
      <c r="E74" s="147">
        <f>SUM(E75:E76)</f>
        <v>6317950</v>
      </c>
      <c r="F74" s="150">
        <f t="shared" si="0"/>
        <v>104.07724773958013</v>
      </c>
    </row>
    <row r="75" spans="1:6" s="8" customFormat="1" x14ac:dyDescent="0.2">
      <c r="A75" s="145" t="s">
        <v>1142</v>
      </c>
      <c r="B75" s="146" t="s">
        <v>3980</v>
      </c>
      <c r="C75" s="345">
        <v>64</v>
      </c>
      <c r="D75" s="149">
        <v>6070443</v>
      </c>
      <c r="E75" s="149">
        <v>6317950</v>
      </c>
      <c r="F75" s="148">
        <f t="shared" si="0"/>
        <v>104.07724773958013</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186879</v>
      </c>
      <c r="E116" s="147">
        <f>E117+E122+E130</f>
        <v>254160</v>
      </c>
      <c r="F116" s="150">
        <f t="shared" si="1"/>
        <v>136.00244008155011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186879</v>
      </c>
      <c r="E122" s="147">
        <f>SUM(E123:E129)</f>
        <v>254160</v>
      </c>
      <c r="F122" s="150">
        <f t="shared" si="1"/>
        <v>136.00244008155011</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186879</v>
      </c>
      <c r="E127" s="149">
        <v>254160</v>
      </c>
      <c r="F127" s="148">
        <f t="shared" si="1"/>
        <v>136.00244008155011</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1060015</v>
      </c>
      <c r="E141" s="147">
        <f>E142+E146</f>
        <v>1134414</v>
      </c>
      <c r="F141" s="150">
        <f t="shared" si="1"/>
        <v>107.01867426404344</v>
      </c>
    </row>
    <row r="142" spans="1:6" s="8" customFormat="1" ht="24" x14ac:dyDescent="0.2">
      <c r="A142" s="145">
        <v>671</v>
      </c>
      <c r="B142" s="154" t="s">
        <v>1672</v>
      </c>
      <c r="C142" s="345">
        <v>131</v>
      </c>
      <c r="D142" s="147">
        <f>SUM(D143:D145)</f>
        <v>1060015</v>
      </c>
      <c r="E142" s="147">
        <f>SUM(E143:E145)</f>
        <v>1134414</v>
      </c>
      <c r="F142" s="150">
        <f t="shared" ref="F142:F205" si="2">IF(D142&lt;&gt;0,IF(E142/D142&gt;=100,"&gt;&gt;100",E142/D142*100),"-")</f>
        <v>107.01867426404344</v>
      </c>
    </row>
    <row r="143" spans="1:6" s="8" customFormat="1" x14ac:dyDescent="0.2">
      <c r="A143" s="145">
        <v>6711</v>
      </c>
      <c r="B143" s="146" t="s">
        <v>3582</v>
      </c>
      <c r="C143" s="345">
        <v>132</v>
      </c>
      <c r="D143" s="149">
        <v>1060015</v>
      </c>
      <c r="E143" s="149">
        <v>1134414</v>
      </c>
      <c r="F143" s="148">
        <f t="shared" si="2"/>
        <v>107.01867426404344</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7346787</v>
      </c>
      <c r="E159" s="147">
        <f>E160+E171+E204+E223+E232+E257+E268</f>
        <v>7718092</v>
      </c>
      <c r="F159" s="150">
        <f t="shared" si="2"/>
        <v>105.05397801787366</v>
      </c>
    </row>
    <row r="160" spans="1:6" s="8" customFormat="1" x14ac:dyDescent="0.2">
      <c r="A160" s="145">
        <v>31</v>
      </c>
      <c r="B160" s="146" t="s">
        <v>431</v>
      </c>
      <c r="C160" s="345">
        <v>149</v>
      </c>
      <c r="D160" s="147">
        <f>D161+D166+D167</f>
        <v>5822399</v>
      </c>
      <c r="E160" s="147">
        <f>E161+E166+E167</f>
        <v>5997582</v>
      </c>
      <c r="F160" s="150">
        <f t="shared" si="2"/>
        <v>103.00877696633295</v>
      </c>
    </row>
    <row r="161" spans="1:6" s="8" customFormat="1" x14ac:dyDescent="0.2">
      <c r="A161" s="145">
        <v>311</v>
      </c>
      <c r="B161" s="146" t="s">
        <v>432</v>
      </c>
      <c r="C161" s="345">
        <v>150</v>
      </c>
      <c r="D161" s="147">
        <f>SUM(D162:D165)</f>
        <v>4780720</v>
      </c>
      <c r="E161" s="147">
        <f>SUM(E162:E165)</f>
        <v>4941740</v>
      </c>
      <c r="F161" s="150">
        <f t="shared" si="2"/>
        <v>103.36811191619672</v>
      </c>
    </row>
    <row r="162" spans="1:6" s="8" customFormat="1" x14ac:dyDescent="0.2">
      <c r="A162" s="145">
        <v>3111</v>
      </c>
      <c r="B162" s="146" t="s">
        <v>385</v>
      </c>
      <c r="C162" s="345">
        <v>151</v>
      </c>
      <c r="D162" s="149">
        <v>4758286</v>
      </c>
      <c r="E162" s="149">
        <v>4940678</v>
      </c>
      <c r="F162" s="148">
        <f t="shared" si="2"/>
        <v>103.83314496018103</v>
      </c>
    </row>
    <row r="163" spans="1:6" s="8" customFormat="1" x14ac:dyDescent="0.2">
      <c r="A163" s="145">
        <v>3112</v>
      </c>
      <c r="B163" s="146" t="s">
        <v>386</v>
      </c>
      <c r="C163" s="345">
        <v>152</v>
      </c>
      <c r="D163" s="149">
        <v>22434</v>
      </c>
      <c r="E163" s="149">
        <v>1062</v>
      </c>
      <c r="F163" s="148">
        <f t="shared" si="2"/>
        <v>4.7338860657929933</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217963</v>
      </c>
      <c r="E166" s="149">
        <v>206228</v>
      </c>
      <c r="F166" s="148">
        <f t="shared" si="2"/>
        <v>94.616058688860036</v>
      </c>
    </row>
    <row r="167" spans="1:6" s="8" customFormat="1" x14ac:dyDescent="0.2">
      <c r="A167" s="145">
        <v>313</v>
      </c>
      <c r="B167" s="146" t="s">
        <v>2853</v>
      </c>
      <c r="C167" s="345">
        <v>156</v>
      </c>
      <c r="D167" s="147">
        <f>SUM(D168:D170)</f>
        <v>823716</v>
      </c>
      <c r="E167" s="147">
        <f>SUM(E168:E170)</f>
        <v>849614</v>
      </c>
      <c r="F167" s="150">
        <f t="shared" si="2"/>
        <v>103.14404479213709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741483</v>
      </c>
      <c r="E169" s="149">
        <v>765641</v>
      </c>
      <c r="F169" s="148">
        <f t="shared" si="2"/>
        <v>103.25806525571051</v>
      </c>
    </row>
    <row r="170" spans="1:6" s="8" customFormat="1" x14ac:dyDescent="0.2">
      <c r="A170" s="145">
        <v>3133</v>
      </c>
      <c r="B170" s="146" t="s">
        <v>264</v>
      </c>
      <c r="C170" s="345">
        <v>159</v>
      </c>
      <c r="D170" s="149">
        <v>82233</v>
      </c>
      <c r="E170" s="149">
        <v>83973</v>
      </c>
      <c r="F170" s="148">
        <f t="shared" si="2"/>
        <v>102.11593885666339</v>
      </c>
    </row>
    <row r="171" spans="1:6" s="8" customFormat="1" x14ac:dyDescent="0.2">
      <c r="A171" s="145">
        <v>32</v>
      </c>
      <c r="B171" s="146" t="s">
        <v>433</v>
      </c>
      <c r="C171" s="345">
        <v>160</v>
      </c>
      <c r="D171" s="147">
        <f>D172+D177+D185+D195+D196</f>
        <v>1519558</v>
      </c>
      <c r="E171" s="147">
        <f>E172+E177+E185+E195+E196</f>
        <v>1717175</v>
      </c>
      <c r="F171" s="150">
        <f t="shared" si="2"/>
        <v>113.00490010911068</v>
      </c>
    </row>
    <row r="172" spans="1:6" s="8" customFormat="1" x14ac:dyDescent="0.2">
      <c r="A172" s="145">
        <v>321</v>
      </c>
      <c r="B172" s="146" t="s">
        <v>3359</v>
      </c>
      <c r="C172" s="345">
        <v>161</v>
      </c>
      <c r="D172" s="147">
        <f>SUM(D173:D176)</f>
        <v>307981</v>
      </c>
      <c r="E172" s="147">
        <f>SUM(E173:E176)</f>
        <v>362019</v>
      </c>
      <c r="F172" s="150">
        <f t="shared" si="2"/>
        <v>117.54588757098652</v>
      </c>
    </row>
    <row r="173" spans="1:6" s="8" customFormat="1" x14ac:dyDescent="0.2">
      <c r="A173" s="145">
        <v>3211</v>
      </c>
      <c r="B173" s="146" t="s">
        <v>3243</v>
      </c>
      <c r="C173" s="345">
        <v>162</v>
      </c>
      <c r="D173" s="149">
        <v>15950</v>
      </c>
      <c r="E173" s="149">
        <v>21764</v>
      </c>
      <c r="F173" s="148">
        <f t="shared" si="2"/>
        <v>136.45141065830722</v>
      </c>
    </row>
    <row r="174" spans="1:6" s="8" customFormat="1" x14ac:dyDescent="0.2">
      <c r="A174" s="145">
        <v>3212</v>
      </c>
      <c r="B174" s="146" t="s">
        <v>108</v>
      </c>
      <c r="C174" s="345">
        <v>163</v>
      </c>
      <c r="D174" s="149">
        <v>253775</v>
      </c>
      <c r="E174" s="149">
        <v>297671</v>
      </c>
      <c r="F174" s="148">
        <f t="shared" si="2"/>
        <v>117.2972120973303</v>
      </c>
    </row>
    <row r="175" spans="1:6" s="8" customFormat="1" x14ac:dyDescent="0.2">
      <c r="A175" s="145">
        <v>3213</v>
      </c>
      <c r="B175" s="146" t="s">
        <v>2999</v>
      </c>
      <c r="C175" s="345">
        <v>164</v>
      </c>
      <c r="D175" s="149">
        <v>7620</v>
      </c>
      <c r="E175" s="149">
        <v>2681</v>
      </c>
      <c r="F175" s="148">
        <f t="shared" si="2"/>
        <v>35.183727034120736</v>
      </c>
    </row>
    <row r="176" spans="1:6" s="8" customFormat="1" x14ac:dyDescent="0.2">
      <c r="A176" s="145">
        <v>3214</v>
      </c>
      <c r="B176" s="146" t="s">
        <v>2998</v>
      </c>
      <c r="C176" s="345">
        <v>165</v>
      </c>
      <c r="D176" s="149">
        <v>30636</v>
      </c>
      <c r="E176" s="149">
        <v>39903</v>
      </c>
      <c r="F176" s="148">
        <f t="shared" si="2"/>
        <v>130.24872698785742</v>
      </c>
    </row>
    <row r="177" spans="1:6" s="8" customFormat="1" x14ac:dyDescent="0.2">
      <c r="A177" s="145">
        <v>322</v>
      </c>
      <c r="B177" s="146" t="s">
        <v>3360</v>
      </c>
      <c r="C177" s="345">
        <v>166</v>
      </c>
      <c r="D177" s="147">
        <f>SUM(D178:D184)</f>
        <v>676597</v>
      </c>
      <c r="E177" s="147">
        <f>SUM(E178:E184)</f>
        <v>727853</v>
      </c>
      <c r="F177" s="150">
        <f t="shared" si="2"/>
        <v>107.57555827176294</v>
      </c>
    </row>
    <row r="178" spans="1:6" s="8" customFormat="1" x14ac:dyDescent="0.2">
      <c r="A178" s="145">
        <v>3221</v>
      </c>
      <c r="B178" s="146" t="s">
        <v>3000</v>
      </c>
      <c r="C178" s="345">
        <v>167</v>
      </c>
      <c r="D178" s="149">
        <v>71843</v>
      </c>
      <c r="E178" s="149">
        <v>99493</v>
      </c>
      <c r="F178" s="148">
        <f t="shared" si="2"/>
        <v>138.48670016563895</v>
      </c>
    </row>
    <row r="179" spans="1:6" s="8" customFormat="1" x14ac:dyDescent="0.2">
      <c r="A179" s="145">
        <v>3222</v>
      </c>
      <c r="B179" s="146" t="s">
        <v>3001</v>
      </c>
      <c r="C179" s="345">
        <v>168</v>
      </c>
      <c r="D179" s="149">
        <v>156021</v>
      </c>
      <c r="E179" s="149">
        <v>289495</v>
      </c>
      <c r="F179" s="148">
        <f t="shared" si="2"/>
        <v>185.54874023368649</v>
      </c>
    </row>
    <row r="180" spans="1:6" s="8" customFormat="1" x14ac:dyDescent="0.2">
      <c r="A180" s="145">
        <v>3223</v>
      </c>
      <c r="B180" s="146" t="s">
        <v>3002</v>
      </c>
      <c r="C180" s="345">
        <v>169</v>
      </c>
      <c r="D180" s="149">
        <v>401821</v>
      </c>
      <c r="E180" s="149">
        <v>289495</v>
      </c>
      <c r="F180" s="148">
        <f t="shared" si="2"/>
        <v>72.045761669997333</v>
      </c>
    </row>
    <row r="181" spans="1:6" s="8" customFormat="1" x14ac:dyDescent="0.2">
      <c r="A181" s="145">
        <v>3224</v>
      </c>
      <c r="B181" s="146" t="s">
        <v>2236</v>
      </c>
      <c r="C181" s="345">
        <v>170</v>
      </c>
      <c r="D181" s="149">
        <v>29034</v>
      </c>
      <c r="E181" s="149">
        <v>27598</v>
      </c>
      <c r="F181" s="148">
        <f t="shared" si="2"/>
        <v>95.05407453330578</v>
      </c>
    </row>
    <row r="182" spans="1:6" s="8" customFormat="1" x14ac:dyDescent="0.2">
      <c r="A182" s="145">
        <v>3225</v>
      </c>
      <c r="B182" s="146" t="s">
        <v>504</v>
      </c>
      <c r="C182" s="345">
        <v>171</v>
      </c>
      <c r="D182" s="149">
        <v>12878</v>
      </c>
      <c r="E182" s="149">
        <v>21772</v>
      </c>
      <c r="F182" s="148">
        <f t="shared" si="2"/>
        <v>169.06351917999689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5000</v>
      </c>
      <c r="E184" s="149"/>
      <c r="F184" s="148">
        <f t="shared" si="2"/>
        <v>0</v>
      </c>
    </row>
    <row r="185" spans="1:6" s="8" customFormat="1" x14ac:dyDescent="0.2">
      <c r="A185" s="145">
        <v>323</v>
      </c>
      <c r="B185" s="146" t="s">
        <v>2312</v>
      </c>
      <c r="C185" s="345">
        <v>174</v>
      </c>
      <c r="D185" s="147">
        <f>SUM(D186:D194)</f>
        <v>486783</v>
      </c>
      <c r="E185" s="147">
        <f>SUM(E186:E194)</f>
        <v>585010</v>
      </c>
      <c r="F185" s="150">
        <f t="shared" si="2"/>
        <v>120.17880657294936</v>
      </c>
    </row>
    <row r="186" spans="1:6" s="8" customFormat="1" x14ac:dyDescent="0.2">
      <c r="A186" s="145">
        <v>3231</v>
      </c>
      <c r="B186" s="146" t="s">
        <v>855</v>
      </c>
      <c r="C186" s="345">
        <v>175</v>
      </c>
      <c r="D186" s="149">
        <v>42860</v>
      </c>
      <c r="E186" s="149">
        <v>33609</v>
      </c>
      <c r="F186" s="148">
        <f t="shared" si="2"/>
        <v>78.415772281847879</v>
      </c>
    </row>
    <row r="187" spans="1:6" s="8" customFormat="1" x14ac:dyDescent="0.2">
      <c r="A187" s="145">
        <v>3232</v>
      </c>
      <c r="B187" s="146" t="s">
        <v>3870</v>
      </c>
      <c r="C187" s="345">
        <v>176</v>
      </c>
      <c r="D187" s="149">
        <v>352104</v>
      </c>
      <c r="E187" s="149">
        <v>466746</v>
      </c>
      <c r="F187" s="148">
        <f t="shared" si="2"/>
        <v>132.55913025696952</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60330</v>
      </c>
      <c r="E189" s="149">
        <v>53755</v>
      </c>
      <c r="F189" s="148">
        <f t="shared" si="2"/>
        <v>89.10160782363667</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24081</v>
      </c>
      <c r="E191" s="149">
        <v>16625</v>
      </c>
      <c r="F191" s="148">
        <f t="shared" si="2"/>
        <v>69.037830654873133</v>
      </c>
    </row>
    <row r="192" spans="1:6" s="8" customFormat="1" x14ac:dyDescent="0.2">
      <c r="A192" s="145">
        <v>3237</v>
      </c>
      <c r="B192" s="146" t="s">
        <v>3875</v>
      </c>
      <c r="C192" s="345">
        <v>181</v>
      </c>
      <c r="D192" s="149"/>
      <c r="E192" s="149">
        <v>5000</v>
      </c>
      <c r="F192" s="148" t="str">
        <f t="shared" si="2"/>
        <v>-</v>
      </c>
    </row>
    <row r="193" spans="1:6" s="8" customFormat="1" x14ac:dyDescent="0.2">
      <c r="A193" s="145">
        <v>3238</v>
      </c>
      <c r="B193" s="146" t="s">
        <v>702</v>
      </c>
      <c r="C193" s="345">
        <v>182</v>
      </c>
      <c r="D193" s="149">
        <v>7408</v>
      </c>
      <c r="E193" s="149">
        <v>6900</v>
      </c>
      <c r="F193" s="148">
        <f t="shared" si="2"/>
        <v>93.142548596112306</v>
      </c>
    </row>
    <row r="194" spans="1:6" s="8" customFormat="1" x14ac:dyDescent="0.2">
      <c r="A194" s="145">
        <v>3239</v>
      </c>
      <c r="B194" s="146" t="s">
        <v>703</v>
      </c>
      <c r="C194" s="345">
        <v>183</v>
      </c>
      <c r="D194" s="149"/>
      <c r="E194" s="149">
        <v>2375</v>
      </c>
      <c r="F194" s="148" t="str">
        <f t="shared" si="2"/>
        <v>-</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48197</v>
      </c>
      <c r="E196" s="147">
        <f>SUM(E197:E203)</f>
        <v>42293</v>
      </c>
      <c r="F196" s="150">
        <f t="shared" si="2"/>
        <v>87.750274913376344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6292</v>
      </c>
      <c r="E198" s="149">
        <v>5671</v>
      </c>
      <c r="F198" s="148">
        <f t="shared" si="2"/>
        <v>90.130324221233309</v>
      </c>
    </row>
    <row r="199" spans="1:6" s="8" customFormat="1" x14ac:dyDescent="0.2">
      <c r="A199" s="145">
        <v>3293</v>
      </c>
      <c r="B199" s="146" t="s">
        <v>1967</v>
      </c>
      <c r="C199" s="345">
        <v>188</v>
      </c>
      <c r="D199" s="149">
        <v>5718</v>
      </c>
      <c r="E199" s="149">
        <v>8419</v>
      </c>
      <c r="F199" s="148">
        <f t="shared" si="2"/>
        <v>147.23679608254633</v>
      </c>
    </row>
    <row r="200" spans="1:6" s="8" customFormat="1" x14ac:dyDescent="0.2">
      <c r="A200" s="145">
        <v>3294</v>
      </c>
      <c r="B200" s="146" t="s">
        <v>2313</v>
      </c>
      <c r="C200" s="345">
        <v>189</v>
      </c>
      <c r="D200" s="149">
        <v>1000</v>
      </c>
      <c r="E200" s="149">
        <v>1200</v>
      </c>
      <c r="F200" s="148">
        <f t="shared" si="2"/>
        <v>120</v>
      </c>
    </row>
    <row r="201" spans="1:6" s="8" customFormat="1" x14ac:dyDescent="0.2">
      <c r="A201" s="145">
        <v>3295</v>
      </c>
      <c r="B201" s="146" t="s">
        <v>3585</v>
      </c>
      <c r="C201" s="345">
        <v>190</v>
      </c>
      <c r="D201" s="149">
        <v>23494</v>
      </c>
      <c r="E201" s="149">
        <v>24668</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11693</v>
      </c>
      <c r="E203" s="149">
        <v>2335</v>
      </c>
      <c r="F203" s="148">
        <f t="shared" si="2"/>
        <v>19.969212349268794</v>
      </c>
    </row>
    <row r="204" spans="1:6" s="8" customFormat="1" x14ac:dyDescent="0.2">
      <c r="A204" s="145">
        <v>34</v>
      </c>
      <c r="B204" s="151" t="s">
        <v>435</v>
      </c>
      <c r="C204" s="345">
        <v>193</v>
      </c>
      <c r="D204" s="147">
        <f>D205+D210+D218</f>
        <v>4830</v>
      </c>
      <c r="E204" s="147">
        <f>E205+E210+E218</f>
        <v>3335</v>
      </c>
      <c r="F204" s="150">
        <f t="shared" si="2"/>
        <v>69.047619047619051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4830</v>
      </c>
      <c r="E218" s="147">
        <f>SUM(E219:E222)</f>
        <v>3335</v>
      </c>
      <c r="F218" s="150">
        <f t="shared" si="3"/>
        <v>69.047619047619051</v>
      </c>
    </row>
    <row r="219" spans="1:6" s="8" customFormat="1" x14ac:dyDescent="0.2">
      <c r="A219" s="145">
        <v>3431</v>
      </c>
      <c r="B219" s="151" t="s">
        <v>3587</v>
      </c>
      <c r="C219" s="345">
        <v>208</v>
      </c>
      <c r="D219" s="149">
        <v>4830</v>
      </c>
      <c r="E219" s="149">
        <v>3335</v>
      </c>
      <c r="F219" s="148">
        <f t="shared" si="3"/>
        <v>69.047619047619051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7346787</v>
      </c>
      <c r="E292" s="147">
        <f>E159-E290+E291</f>
        <v>7718092</v>
      </c>
      <c r="F292" s="150">
        <f t="shared" si="4"/>
        <v>105.05397801787366</v>
      </c>
    </row>
    <row r="293" spans="1:6" s="8" customFormat="1" x14ac:dyDescent="0.2">
      <c r="A293" s="145" t="s">
        <v>1215</v>
      </c>
      <c r="B293" s="146" t="s">
        <v>3441</v>
      </c>
      <c r="C293" s="345">
        <v>282</v>
      </c>
      <c r="D293" s="147">
        <f>IF(D12&gt;=D292,D12-D292,0)</f>
        <v>0</v>
      </c>
      <c r="E293" s="147">
        <f>IF(E12&gt;=E292,E12-E292,0)</f>
        <v>0</v>
      </c>
      <c r="F293" s="150" t="str">
        <f t="shared" si="4"/>
        <v>-</v>
      </c>
    </row>
    <row r="294" spans="1:6" s="8" customFormat="1" x14ac:dyDescent="0.2">
      <c r="A294" s="145" t="s">
        <v>1215</v>
      </c>
      <c r="B294" s="146" t="s">
        <v>3442</v>
      </c>
      <c r="C294" s="345">
        <v>283</v>
      </c>
      <c r="D294" s="147">
        <f>IF(D292&gt;=D12,D292-D12,0)</f>
        <v>29450</v>
      </c>
      <c r="E294" s="147">
        <f>IF(E292&gt;=E12,E292-E12,0)</f>
        <v>11568</v>
      </c>
      <c r="F294" s="150">
        <f t="shared" si="4"/>
        <v>39.280135823429539</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4" t="s">
        <v>3443</v>
      </c>
      <c r="B300" s="425"/>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31435</v>
      </c>
      <c r="E353" s="147">
        <f>E354+E366+E399+E403+E405</f>
        <v>36005</v>
      </c>
      <c r="F353" s="150">
        <f t="shared" si="5"/>
        <v>114.53793542229998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31435</v>
      </c>
      <c r="E366" s="147">
        <f>E367+E372+E381+E386+E391+E394</f>
        <v>36005</v>
      </c>
      <c r="F366" s="150">
        <f t="shared" si="6"/>
        <v>114.53793542229998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29806</v>
      </c>
      <c r="E372" s="147">
        <f>SUM(E373:E380)</f>
        <v>32983</v>
      </c>
      <c r="F372" s="150">
        <f t="shared" si="6"/>
        <v>110.65892773267127</v>
      </c>
    </row>
    <row r="373" spans="1:6" s="8" customFormat="1" x14ac:dyDescent="0.2">
      <c r="A373" s="145">
        <v>4221</v>
      </c>
      <c r="B373" s="146" t="s">
        <v>3941</v>
      </c>
      <c r="C373" s="345">
        <v>361</v>
      </c>
      <c r="D373" s="149">
        <v>29806</v>
      </c>
      <c r="E373" s="149">
        <v>32983</v>
      </c>
      <c r="F373" s="148">
        <f t="shared" si="6"/>
        <v>110.65892773267127</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1629</v>
      </c>
      <c r="E386" s="147">
        <f>SUM(E387:E390)</f>
        <v>3022</v>
      </c>
      <c r="F386" s="150">
        <f t="shared" si="6"/>
        <v>185.51258440761202</v>
      </c>
    </row>
    <row r="387" spans="1:6" s="8" customFormat="1" x14ac:dyDescent="0.2">
      <c r="A387" s="145">
        <v>4241</v>
      </c>
      <c r="B387" s="146" t="s">
        <v>2886</v>
      </c>
      <c r="C387" s="345">
        <v>375</v>
      </c>
      <c r="D387" s="149">
        <v>1629</v>
      </c>
      <c r="E387" s="149">
        <v>3022</v>
      </c>
      <c r="F387" s="148">
        <f t="shared" si="6"/>
        <v>185.51258440761202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31435</v>
      </c>
      <c r="E411" s="147">
        <f>IF(E353&gt;=E301, E353-E301, 0)</f>
        <v>36005</v>
      </c>
      <c r="F411" s="150">
        <f t="shared" si="6"/>
        <v>114.53793542229998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7317337</v>
      </c>
      <c r="E415" s="147">
        <f>E12+E301</f>
        <v>7706524</v>
      </c>
      <c r="F415" s="150">
        <f t="shared" si="6"/>
        <v>105.31869722550704</v>
      </c>
    </row>
    <row r="416" spans="1:6" s="8" customFormat="1" x14ac:dyDescent="0.2">
      <c r="A416" s="145" t="s">
        <v>1215</v>
      </c>
      <c r="B416" s="146" t="s">
        <v>1993</v>
      </c>
      <c r="C416" s="345">
        <v>404</v>
      </c>
      <c r="D416" s="147">
        <f>D292+D353</f>
        <v>7378222</v>
      </c>
      <c r="E416" s="147">
        <f>E292+E353</f>
        <v>7754097</v>
      </c>
      <c r="F416" s="150">
        <f t="shared" si="6"/>
        <v>105.09438452787134</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60885</v>
      </c>
      <c r="E418" s="147">
        <f>IF(E416&gt;=E415,E416-E415,0)</f>
        <v>47573</v>
      </c>
      <c r="F418" s="150">
        <f t="shared" si="6"/>
        <v>78.135829843146922</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4" t="s">
        <v>1999</v>
      </c>
      <c r="B422" s="425"/>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7317337</v>
      </c>
      <c r="E642" s="147">
        <f>E415+E423</f>
        <v>7706524</v>
      </c>
      <c r="F642" s="148">
        <f t="shared" si="10"/>
        <v>105.31869722550704</v>
      </c>
    </row>
    <row r="643" spans="1:6" s="8" customFormat="1" x14ac:dyDescent="0.2">
      <c r="A643" s="145" t="s">
        <v>1215</v>
      </c>
      <c r="B643" s="146" t="s">
        <v>1246</v>
      </c>
      <c r="C643" s="345">
        <v>630</v>
      </c>
      <c r="D643" s="147">
        <f>D416+D531</f>
        <v>7378222</v>
      </c>
      <c r="E643" s="147">
        <f>E416+E531</f>
        <v>7754097</v>
      </c>
      <c r="F643" s="148">
        <f t="shared" si="10"/>
        <v>105.09438452787134</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60885</v>
      </c>
      <c r="E645" s="147">
        <f>IF(E643&gt;=E642,E643-E642,0)</f>
        <v>47573</v>
      </c>
      <c r="F645" s="148">
        <f t="shared" si="10"/>
        <v>78.135829843146922</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60885</v>
      </c>
      <c r="E649" s="147">
        <f>IF(E645+E647-E644-E646&gt;=0,E645+E647-E644-E646,0)</f>
        <v>47573</v>
      </c>
      <c r="F649" s="148">
        <f t="shared" si="10"/>
        <v>78.135829843146922</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4" t="s">
        <v>178</v>
      </c>
      <c r="B651" s="425"/>
      <c r="C651" s="348"/>
      <c r="D651" s="143"/>
      <c r="E651" s="143"/>
      <c r="F651" s="144"/>
    </row>
    <row r="652" spans="1:6" s="8" customFormat="1" x14ac:dyDescent="0.2">
      <c r="A652" s="145">
        <v>11</v>
      </c>
      <c r="B652" s="146" t="s">
        <v>1207</v>
      </c>
      <c r="C652" s="345">
        <v>638</v>
      </c>
      <c r="D652" s="149">
        <v>81208</v>
      </c>
      <c r="E652" s="149">
        <v>14911</v>
      </c>
      <c r="F652" s="148">
        <f t="shared" ref="F652:F677" si="11">IF(D652&lt;&gt;0,IF(E652/D652&gt;=100,"&gt;&gt;100",E652/D652*100),"-")</f>
        <v>18.36149147867205</v>
      </c>
    </row>
    <row r="653" spans="1:6" s="8" customFormat="1" x14ac:dyDescent="0.2">
      <c r="A653" s="145" t="s">
        <v>1208</v>
      </c>
      <c r="B653" s="146" t="s">
        <v>2750</v>
      </c>
      <c r="C653" s="345">
        <v>639</v>
      </c>
      <c r="D653" s="149">
        <v>6216294</v>
      </c>
      <c r="E653" s="149">
        <v>6735761</v>
      </c>
      <c r="F653" s="148">
        <f t="shared" si="11"/>
        <v>108.35653847774896</v>
      </c>
    </row>
    <row r="654" spans="1:6" s="8" customFormat="1" x14ac:dyDescent="0.2">
      <c r="A654" s="145" t="s">
        <v>1209</v>
      </c>
      <c r="B654" s="146" t="s">
        <v>3586</v>
      </c>
      <c r="C654" s="345">
        <v>640</v>
      </c>
      <c r="D654" s="149">
        <v>6282591</v>
      </c>
      <c r="E654" s="149">
        <v>6699343</v>
      </c>
      <c r="F654" s="148">
        <f t="shared" si="11"/>
        <v>106.63344152118131</v>
      </c>
    </row>
    <row r="655" spans="1:6" s="8" customFormat="1" x14ac:dyDescent="0.2">
      <c r="A655" s="145">
        <v>11</v>
      </c>
      <c r="B655" s="146" t="s">
        <v>181</v>
      </c>
      <c r="C655" s="345">
        <v>641</v>
      </c>
      <c r="D655" s="147">
        <f>+D652+D653-D654</f>
        <v>14911</v>
      </c>
      <c r="E655" s="147">
        <f>+E652+E653-E654</f>
        <v>51329</v>
      </c>
      <c r="F655" s="150">
        <f t="shared" si="11"/>
        <v>344.23579907450875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54</v>
      </c>
      <c r="E657" s="149">
        <v>54</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60</v>
      </c>
      <c r="E659" s="149">
        <v>60</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6070443</v>
      </c>
      <c r="E678" s="149">
        <v>6317950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186879</v>
      </c>
      <c r="E698" s="149">
        <v>254160</v>
      </c>
      <c r="F698" s="148">
        <f t="shared" si="12"/>
        <v>136.00244008155011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217963</v>
      </c>
      <c r="E702" s="149">
        <v>206228</v>
      </c>
      <c r="F702" s="148">
        <f>IF(D702&lt;&gt;0,IF(E702/D702&gt;=100,"&gt;&gt;100",E702/D702*100),"-")</f>
        <v>94.616058688860036</v>
      </c>
    </row>
    <row r="703" spans="1:6" s="8" customFormat="1" x14ac:dyDescent="0.2">
      <c r="A703" s="145">
        <v>32121</v>
      </c>
      <c r="B703" s="146" t="s">
        <v>3797</v>
      </c>
      <c r="C703" s="345">
        <v>689</v>
      </c>
      <c r="D703" s="149">
        <v>253775</v>
      </c>
      <c r="E703" s="149">
        <v>297671</v>
      </c>
      <c r="F703" s="148">
        <f>IF(D703&lt;&gt;0,IF(E703/D703&gt;=100,"&gt;&gt;100",E703/D703*100),"-")</f>
        <v>117.2972120973303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24081</v>
      </c>
      <c r="E705" s="149">
        <v>16625</v>
      </c>
      <c r="F705" s="148">
        <f>IF(D705&lt;&gt;0,IF(E705/D705&gt;=100,"&gt;&gt;100",E705/D705*100),"-")</f>
        <v>69.037830654873133</v>
      </c>
    </row>
    <row r="706" spans="1:6" s="8" customFormat="1" x14ac:dyDescent="0.2">
      <c r="A706" s="145" t="s">
        <v>3798</v>
      </c>
      <c r="B706" s="146" t="s">
        <v>3799</v>
      </c>
      <c r="C706" s="345">
        <v>692</v>
      </c>
      <c r="D706" s="149"/>
      <c r="E706" s="149">
        <v>5000</v>
      </c>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v>2375</v>
      </c>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6292</v>
      </c>
      <c r="E711" s="149">
        <v>5671</v>
      </c>
      <c r="F711" s="148">
        <f t="shared" si="13"/>
        <v>90.130324221233309</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1" t="s">
        <v>3065</v>
      </c>
      <c r="B982" s="41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3" t="s">
        <v>1067</v>
      </c>
      <c r="E994" s="423"/>
    </row>
    <row r="995" spans="1:5" ht="15" customHeight="1" x14ac:dyDescent="0.2">
      <c r="A995" s="291" t="str">
        <f>IF(RefStr!H25&lt;&gt;"", "Osoba za kontaktiranje: " &amp; RefStr!H25,"Osoba za kontaktiranje: _________________________________________")</f>
        <v>Osoba za kontaktiranje: MARIJA HAFNER</v>
      </c>
      <c r="D995" s="293"/>
      <c r="E995" s="293"/>
    </row>
    <row r="996" spans="1:5" ht="15" customHeight="1" x14ac:dyDescent="0.2">
      <c r="A996" s="291" t="str">
        <f>IF(RefStr!H27="","Telefon za kontakt: _________________","Telefon za kontakt: " &amp; RefStr!H27)</f>
        <v>Telefon za kontakt: 031725004</v>
      </c>
      <c r="C996" s="292"/>
    </row>
    <row r="997" spans="1:5" ht="15" customHeight="1" x14ac:dyDescent="0.2">
      <c r="A997" s="291" t="str">
        <f>IF(RefStr!H33="","Odgovorna osoba: _____________________________","Odgovorna osoba: " &amp; RefStr!H33)</f>
        <v>Odgovorna osoba: ĐURĐICA PETROVIĆ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5" activePane="bottomLeft" state="frozen"/>
      <selection pane="bottomLeft" activeCell="E213" sqref="E21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21300</v>
      </c>
      <c r="C4" s="429"/>
      <c r="D4" s="429"/>
      <c r="E4" s="430">
        <f>SUM(Skriveni!G977:G1286)</f>
        <v>13399813.936000001</v>
      </c>
      <c r="F4" s="431"/>
    </row>
    <row r="5" spans="1:6" ht="15" customHeight="1" x14ac:dyDescent="0.2">
      <c r="B5" s="428" t="str">
        <f>"Naziv: "&amp;IF(RefStr!B10&lt;&gt;"",RefStr!B10,"_______________________________________")</f>
        <v>Naziv: OŠ ŠEĆERANA-ŠEĆERANA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4028523</v>
      </c>
      <c r="E12" s="96">
        <f>E13+E74</f>
        <v>3894266</v>
      </c>
      <c r="F12" s="123">
        <f t="shared" ref="F12:F75" si="0">IF(D12&gt;0,IF(E12/D12&gt;=100,"&gt;&gt;100",E12/D12*100),"-")</f>
        <v>96.667339369788877</v>
      </c>
    </row>
    <row r="13" spans="1:6" s="3" customFormat="1" x14ac:dyDescent="0.2">
      <c r="A13" s="132">
        <v>0</v>
      </c>
      <c r="B13" s="314" t="s">
        <v>521</v>
      </c>
      <c r="C13" s="303">
        <v>2</v>
      </c>
      <c r="D13" s="97">
        <f>D14+D18+D57+D58+D62+D69</f>
        <v>4008333</v>
      </c>
      <c r="E13" s="97">
        <f>E14+E18+E57+E58+E62+E69</f>
        <v>3837674</v>
      </c>
      <c r="F13" s="124">
        <f t="shared" si="0"/>
        <v>95.742394656332195</v>
      </c>
    </row>
    <row r="14" spans="1:6" s="3" customFormat="1" x14ac:dyDescent="0.2">
      <c r="A14" s="132" t="s">
        <v>1564</v>
      </c>
      <c r="B14" s="314" t="s">
        <v>3259</v>
      </c>
      <c r="C14" s="303">
        <v>3</v>
      </c>
      <c r="D14" s="97">
        <f>D15+D16-D17</f>
        <v>253549</v>
      </c>
      <c r="E14" s="97">
        <f>E15+E16-E17</f>
        <v>253549</v>
      </c>
      <c r="F14" s="124">
        <f t="shared" si="0"/>
        <v>100</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253549</v>
      </c>
      <c r="E16" s="94">
        <v>253549</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3754784</v>
      </c>
      <c r="E18" s="97">
        <f>E19+E25+E35+E41+E47+E51</f>
        <v>3584125</v>
      </c>
      <c r="F18" s="124">
        <f t="shared" si="0"/>
        <v>95.454891679521381</v>
      </c>
    </row>
    <row r="19" spans="1:6" s="3" customFormat="1" x14ac:dyDescent="0.2">
      <c r="A19" s="315" t="s">
        <v>362</v>
      </c>
      <c r="B19" s="314" t="s">
        <v>3928</v>
      </c>
      <c r="C19" s="303">
        <v>8</v>
      </c>
      <c r="D19" s="97">
        <f>SUM(D20:D23)-D24</f>
        <v>2288170</v>
      </c>
      <c r="E19" s="97">
        <f>SUM(E20:E23)-E24</f>
        <v>2234590</v>
      </c>
      <c r="F19" s="124">
        <f t="shared" si="0"/>
        <v>97.658390766420325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4045418</v>
      </c>
      <c r="E21" s="94">
        <v>4045418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1757248</v>
      </c>
      <c r="E24" s="94">
        <v>1810828</v>
      </c>
      <c r="F24" s="125">
        <f t="shared" si="0"/>
        <v>103.04908584331865</v>
      </c>
    </row>
    <row r="25" spans="1:6" s="3" customFormat="1" x14ac:dyDescent="0.2">
      <c r="A25" s="315" t="s">
        <v>1156</v>
      </c>
      <c r="B25" s="314" t="s">
        <v>1261</v>
      </c>
      <c r="C25" s="303">
        <v>14</v>
      </c>
      <c r="D25" s="97">
        <f>SUM(D26:D33)-D34</f>
        <v>1308530</v>
      </c>
      <c r="E25" s="97">
        <f>SUM(E26:E33)-E34</f>
        <v>1207022</v>
      </c>
      <c r="F25" s="124">
        <f t="shared" si="0"/>
        <v>92.242592833179216</v>
      </c>
    </row>
    <row r="26" spans="1:6" s="3" customFormat="1" x14ac:dyDescent="0.2">
      <c r="A26" s="132" t="s">
        <v>1157</v>
      </c>
      <c r="B26" s="314" t="s">
        <v>3941</v>
      </c>
      <c r="C26" s="303">
        <v>15</v>
      </c>
      <c r="D26" s="94">
        <v>2258283</v>
      </c>
      <c r="E26" s="94">
        <v>2258283</v>
      </c>
      <c r="F26" s="125">
        <f t="shared" si="0"/>
        <v>100</v>
      </c>
    </row>
    <row r="27" spans="1:6" s="3" customFormat="1" x14ac:dyDescent="0.2">
      <c r="A27" s="132" t="s">
        <v>1158</v>
      </c>
      <c r="B27" s="314" t="s">
        <v>3965</v>
      </c>
      <c r="C27" s="303">
        <v>16</v>
      </c>
      <c r="D27" s="94">
        <v>11935</v>
      </c>
      <c r="E27" s="94">
        <v>11935</v>
      </c>
      <c r="F27" s="125">
        <f t="shared" si="0"/>
        <v>100</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4416</v>
      </c>
      <c r="E30" s="94">
        <v>4419</v>
      </c>
      <c r="F30" s="125">
        <f t="shared" si="0"/>
        <v>100.06793478260869</v>
      </c>
    </row>
    <row r="31" spans="1:6" s="3" customFormat="1" x14ac:dyDescent="0.2">
      <c r="A31" s="272" t="s">
        <v>2451</v>
      </c>
      <c r="B31" s="314" t="s">
        <v>3946</v>
      </c>
      <c r="C31" s="303">
        <v>20</v>
      </c>
      <c r="D31" s="94">
        <v>89644</v>
      </c>
      <c r="E31" s="94">
        <v>89644</v>
      </c>
      <c r="F31" s="125">
        <f t="shared" si="0"/>
        <v>100</v>
      </c>
    </row>
    <row r="32" spans="1:6" s="3" customFormat="1" x14ac:dyDescent="0.2">
      <c r="A32" s="272" t="s">
        <v>2452</v>
      </c>
      <c r="B32" s="314" t="s">
        <v>3947</v>
      </c>
      <c r="C32" s="303">
        <v>21</v>
      </c>
      <c r="D32" s="94">
        <v>45451</v>
      </c>
      <c r="E32" s="94">
        <v>45451</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1101199</v>
      </c>
      <c r="E34" s="94">
        <v>1202710</v>
      </c>
      <c r="F34" s="125">
        <f t="shared" si="0"/>
        <v>109.21822486217296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158084</v>
      </c>
      <c r="E41" s="97">
        <f>SUM(E42:E45)-E46</f>
        <v>142513</v>
      </c>
      <c r="F41" s="124">
        <f t="shared" si="0"/>
        <v>90.150173325573746</v>
      </c>
    </row>
    <row r="42" spans="1:6" s="3" customFormat="1" x14ac:dyDescent="0.2">
      <c r="A42" s="132" t="s">
        <v>2878</v>
      </c>
      <c r="B42" s="314" t="s">
        <v>2886</v>
      </c>
      <c r="C42" s="303">
        <v>31</v>
      </c>
      <c r="D42" s="94">
        <v>158084</v>
      </c>
      <c r="E42" s="94">
        <v>142513</v>
      </c>
      <c r="F42" s="125">
        <f t="shared" si="0"/>
        <v>90.150173325573746</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197242</v>
      </c>
      <c r="E60" s="94">
        <v>219014</v>
      </c>
      <c r="F60" s="125">
        <f t="shared" si="0"/>
        <v>111.03821701260381</v>
      </c>
    </row>
    <row r="61" spans="1:6" s="3" customFormat="1" x14ac:dyDescent="0.2">
      <c r="A61" s="132" t="s">
        <v>456</v>
      </c>
      <c r="B61" s="314" t="s">
        <v>617</v>
      </c>
      <c r="C61" s="303">
        <v>50</v>
      </c>
      <c r="D61" s="94">
        <v>197242</v>
      </c>
      <c r="E61" s="94">
        <v>219014</v>
      </c>
      <c r="F61" s="125">
        <f t="shared" si="0"/>
        <v>111.03821701260381</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20190</v>
      </c>
      <c r="E74" s="97">
        <f>E75+E84+E92+E123+E139+E151+E168+E169</f>
        <v>56592</v>
      </c>
      <c r="F74" s="124">
        <f t="shared" si="0"/>
        <v>280.29717682020799</v>
      </c>
    </row>
    <row r="75" spans="1:6" s="3" customFormat="1" x14ac:dyDescent="0.2">
      <c r="A75" s="272" t="s">
        <v>2744</v>
      </c>
      <c r="B75" s="314" t="s">
        <v>322</v>
      </c>
      <c r="C75" s="303">
        <v>64</v>
      </c>
      <c r="D75" s="97">
        <f>+D76+D81+D82+D83</f>
        <v>14927</v>
      </c>
      <c r="E75" s="97">
        <f>+E76+E81+E82+E83</f>
        <v>51329</v>
      </c>
      <c r="F75" s="124">
        <f t="shared" si="0"/>
        <v>343.86681851678168</v>
      </c>
    </row>
    <row r="76" spans="1:6" s="3" customFormat="1" x14ac:dyDescent="0.2">
      <c r="A76" s="132" t="s">
        <v>3429</v>
      </c>
      <c r="B76" s="317" t="s">
        <v>1885</v>
      </c>
      <c r="C76" s="303">
        <v>65</v>
      </c>
      <c r="D76" s="97">
        <f>SUM(D77:D80)</f>
        <v>14911</v>
      </c>
      <c r="E76" s="97">
        <f>SUM(E77:E80)</f>
        <v>50978</v>
      </c>
      <c r="F76" s="124">
        <f t="shared" ref="F76:F139" si="1">IF(D76&gt;0,IF(E76/D76&gt;=100,"&gt;&gt;100",E76/D76*100),"-")</f>
        <v>341.88183220441289</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14911</v>
      </c>
      <c r="E78" s="94">
        <v>50978</v>
      </c>
      <c r="F78" s="125">
        <f t="shared" si="1"/>
        <v>341.88183220441289</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16</v>
      </c>
      <c r="E82" s="94">
        <v>351</v>
      </c>
      <c r="F82" s="125">
        <f t="shared" si="1"/>
        <v>2193.75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5263</v>
      </c>
      <c r="E84" s="97">
        <f>+E85+SUM(E88:E91)</f>
        <v>5263</v>
      </c>
      <c r="F84" s="124">
        <f t="shared" si="1"/>
        <v>100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5263</v>
      </c>
      <c r="E91" s="94">
        <v>5263</v>
      </c>
      <c r="F91" s="125">
        <f t="shared" si="1"/>
        <v>100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4028523</v>
      </c>
      <c r="E173" s="97">
        <f>E174+E234</f>
        <v>3894266</v>
      </c>
      <c r="F173" s="124">
        <f t="shared" si="2"/>
        <v>96.667339369788877</v>
      </c>
    </row>
    <row r="174" spans="1:6" s="3" customFormat="1" x14ac:dyDescent="0.2">
      <c r="A174" s="272" t="s">
        <v>3813</v>
      </c>
      <c r="B174" s="314" t="s">
        <v>1145</v>
      </c>
      <c r="C174" s="303">
        <v>163</v>
      </c>
      <c r="D174" s="97">
        <f>D175+D186+D187+D203+D231</f>
        <v>90691</v>
      </c>
      <c r="E174" s="97">
        <f>E175+E186+E187+E203+E231</f>
        <v>80556</v>
      </c>
      <c r="F174" s="124">
        <f t="shared" si="2"/>
        <v>88.824690432347197</v>
      </c>
    </row>
    <row r="175" spans="1:6" s="3" customFormat="1" x14ac:dyDescent="0.2">
      <c r="A175" s="272" t="s">
        <v>1181</v>
      </c>
      <c r="B175" s="314" t="s">
        <v>1547</v>
      </c>
      <c r="C175" s="303">
        <v>164</v>
      </c>
      <c r="D175" s="97">
        <f>SUM(D176:D178)+SUM(D182:D185)</f>
        <v>60885</v>
      </c>
      <c r="E175" s="97">
        <f>SUM(E176:E178)+SUM(E182:E185)</f>
        <v>47573</v>
      </c>
      <c r="F175" s="124">
        <f t="shared" si="2"/>
        <v>78.135829843146922</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60885</v>
      </c>
      <c r="E177" s="94">
        <v>47573</v>
      </c>
      <c r="F177" s="125">
        <f t="shared" si="2"/>
        <v>78.135829843146922</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v>29806</v>
      </c>
      <c r="E186" s="94">
        <v>32983</v>
      </c>
      <c r="F186" s="125">
        <f t="shared" si="2"/>
        <v>110.65892773267127</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3937832</v>
      </c>
      <c r="E234" s="97">
        <f>+E235+E243-E247+E251+E252+E253</f>
        <v>3813710</v>
      </c>
      <c r="F234" s="124">
        <f t="shared" si="3"/>
        <v>96.847961010017684</v>
      </c>
    </row>
    <row r="235" spans="1:6" s="3" customFormat="1" x14ac:dyDescent="0.2">
      <c r="A235" s="132" t="s">
        <v>1279</v>
      </c>
      <c r="B235" s="314" t="s">
        <v>3395</v>
      </c>
      <c r="C235" s="303">
        <v>224</v>
      </c>
      <c r="D235" s="97">
        <f>D236-D239</f>
        <v>3998717</v>
      </c>
      <c r="E235" s="97">
        <f>E236-E239</f>
        <v>3861283</v>
      </c>
      <c r="F235" s="124">
        <f t="shared" si="3"/>
        <v>96.563047597516899</v>
      </c>
    </row>
    <row r="236" spans="1:6" s="3" customFormat="1" x14ac:dyDescent="0.2">
      <c r="A236" s="132" t="s">
        <v>1280</v>
      </c>
      <c r="B236" s="314" t="s">
        <v>3396</v>
      </c>
      <c r="C236" s="303">
        <v>225</v>
      </c>
      <c r="D236" s="97">
        <f>SUM(D237:D238)</f>
        <v>3998717</v>
      </c>
      <c r="E236" s="97">
        <f>SUM(E237:E238)</f>
        <v>3861283</v>
      </c>
      <c r="F236" s="124">
        <f t="shared" si="3"/>
        <v>96.563047597516899</v>
      </c>
    </row>
    <row r="237" spans="1:6" s="3" customFormat="1" x14ac:dyDescent="0.2">
      <c r="A237" s="132" t="s">
        <v>1281</v>
      </c>
      <c r="B237" s="314" t="s">
        <v>1282</v>
      </c>
      <c r="C237" s="303">
        <v>226</v>
      </c>
      <c r="D237" s="94"/>
      <c r="E237" s="94"/>
      <c r="F237" s="125" t="str">
        <f t="shared" si="3"/>
        <v>-</v>
      </c>
    </row>
    <row r="238" spans="1:6" s="3" customFormat="1" x14ac:dyDescent="0.2">
      <c r="A238" s="132" t="s">
        <v>1283</v>
      </c>
      <c r="B238" s="314" t="s">
        <v>1284</v>
      </c>
      <c r="C238" s="303">
        <v>227</v>
      </c>
      <c r="D238" s="94">
        <v>3998717</v>
      </c>
      <c r="E238" s="94">
        <v>3861283</v>
      </c>
      <c r="F238" s="125">
        <f t="shared" si="3"/>
        <v>96.563047597516899</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60885</v>
      </c>
      <c r="E247" s="97">
        <f>SUM(E248:E250)</f>
        <v>47573</v>
      </c>
      <c r="F247" s="124">
        <f t="shared" si="3"/>
        <v>78.135829843146922</v>
      </c>
    </row>
    <row r="248" spans="1:6" s="3" customFormat="1" x14ac:dyDescent="0.2">
      <c r="A248" s="132" t="s">
        <v>2927</v>
      </c>
      <c r="B248" s="314" t="s">
        <v>2807</v>
      </c>
      <c r="C248" s="303">
        <v>237</v>
      </c>
      <c r="D248" s="94">
        <v>60885</v>
      </c>
      <c r="E248" s="94">
        <v>47573</v>
      </c>
      <c r="F248" s="125">
        <f t="shared" si="3"/>
        <v>78.135829843146922</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60885</v>
      </c>
      <c r="E287" s="94">
        <v>47573</v>
      </c>
      <c r="F287" s="125">
        <f t="shared" si="4"/>
        <v>78.135829843146922</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v>29806</v>
      </c>
      <c r="E289" s="94">
        <v>32983</v>
      </c>
      <c r="F289" s="125">
        <f t="shared" si="4"/>
        <v>110.65892773267127</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3" t="s">
        <v>1067</v>
      </c>
      <c r="E324" s="423"/>
      <c r="F324" s="291"/>
      <c r="G324" s="307"/>
    </row>
    <row r="325" spans="1:7" s="292" customFormat="1" ht="15" customHeight="1" x14ac:dyDescent="0.2">
      <c r="A325" s="291" t="str">
        <f>IF(RefStr!H25&lt;&gt;"", "Osoba za kontaktiranje: " &amp; RefStr!H25,"Osoba za kontaktiranje: _________________________________________")</f>
        <v>Osoba za kontaktiranje: MARIJA HAFNER</v>
      </c>
      <c r="B325" s="291"/>
      <c r="D325" s="293"/>
      <c r="E325" s="293"/>
      <c r="F325" s="291"/>
      <c r="G325" s="307"/>
    </row>
    <row r="326" spans="1:7" s="292" customFormat="1" ht="15" customHeight="1" x14ac:dyDescent="0.2">
      <c r="A326" s="291" t="str">
        <f>IF(RefStr!H27="","Telefon za kontakt: _________________","Telefon za kontakt: " &amp; RefStr!H27)</f>
        <v>Telefon za kontakt: 031725004</v>
      </c>
      <c r="B326" s="291"/>
      <c r="F326" s="291"/>
      <c r="G326" s="307"/>
    </row>
    <row r="327" spans="1:7" s="292" customFormat="1" ht="15" customHeight="1" x14ac:dyDescent="0.2">
      <c r="A327" s="291" t="str">
        <f>IF(RefStr!H33="","Odgovorna osoba: _____________________________","Odgovorna osoba: " &amp; RefStr!H33)</f>
        <v>Odgovorna osoba: ĐURĐICA PETROVIĆ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32" sqref="E13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21300</v>
      </c>
      <c r="C4" s="429"/>
      <c r="D4" s="429"/>
      <c r="E4" s="430">
        <f>SUM(Skriveni!G1287:G1423)</f>
        <v>10704530.814000001</v>
      </c>
      <c r="F4" s="431"/>
    </row>
    <row r="5" spans="1:6" ht="15" customHeight="1" x14ac:dyDescent="0.2">
      <c r="B5" s="428" t="str">
        <f>"Naziv: "&amp;IF(RefStr!B10&lt;&gt;"",RefStr!B10,"_______________________________________")</f>
        <v>Naziv: OŠ ŠEĆERANA-ŠEĆERANA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7378222</v>
      </c>
      <c r="E121" s="97">
        <f>E122+E125+E128+E129+SUM(E132:E135)</f>
        <v>7754097</v>
      </c>
      <c r="F121" s="125">
        <f t="shared" si="1"/>
        <v>105.09438452787134</v>
      </c>
    </row>
    <row r="122" spans="1:6" s="3" customFormat="1" x14ac:dyDescent="0.2">
      <c r="A122" s="132" t="s">
        <v>2919</v>
      </c>
      <c r="B122" s="105" t="s">
        <v>3973</v>
      </c>
      <c r="C122" s="303">
        <v>111</v>
      </c>
      <c r="D122" s="97">
        <f>SUM(D123:D124)</f>
        <v>7222201</v>
      </c>
      <c r="E122" s="97">
        <f>SUM(E123:E124)</f>
        <v>7464602</v>
      </c>
      <c r="F122" s="125">
        <f t="shared" si="1"/>
        <v>103.35633140091227</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7222201</v>
      </c>
      <c r="E124" s="94">
        <v>7464602</v>
      </c>
      <c r="F124" s="125">
        <f t="shared" si="1"/>
        <v>103.35633140091227</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156021</v>
      </c>
      <c r="E133" s="94">
        <v>289495</v>
      </c>
      <c r="F133" s="125">
        <f t="shared" si="1"/>
        <v>185.54874023368649</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7378222</v>
      </c>
      <c r="E148" s="107">
        <f>E12+E29+E35+E42+E82+E89+E96+E114+E121+E136</f>
        <v>7754097</v>
      </c>
      <c r="F148" s="126">
        <f t="shared" si="2"/>
        <v>105.09438452787134</v>
      </c>
    </row>
    <row r="149" spans="1:7" ht="15" customHeight="1" x14ac:dyDescent="0.2"/>
    <row r="150" spans="1:7" s="292" customFormat="1" ht="25.5" customHeight="1" x14ac:dyDescent="0.2">
      <c r="A150" s="291" t="s">
        <v>518</v>
      </c>
      <c r="B150" s="291"/>
      <c r="D150" s="423" t="s">
        <v>1067</v>
      </c>
      <c r="E150" s="423"/>
      <c r="F150" s="291"/>
      <c r="G150" s="307"/>
    </row>
    <row r="151" spans="1:7" s="292" customFormat="1" ht="15" customHeight="1" x14ac:dyDescent="0.2">
      <c r="A151" s="291" t="str">
        <f>IF(RefStr!H25&lt;&gt;"", "Osoba za kontaktiranje: " &amp; RefStr!H25,"Osoba za kontaktiranje: _________________________________________")</f>
        <v>Osoba za kontaktiranje: MARIJA HAFNER</v>
      </c>
      <c r="B151" s="291"/>
      <c r="D151" s="293"/>
      <c r="E151" s="293"/>
      <c r="F151" s="291"/>
      <c r="G151" s="307"/>
    </row>
    <row r="152" spans="1:7" s="292" customFormat="1" ht="15" customHeight="1" x14ac:dyDescent="0.2">
      <c r="A152" s="291" t="str">
        <f>IF(RefStr!H27="","Telefon za kontakt: _________________","Telefon za kontakt: " &amp; RefStr!H27)</f>
        <v>Telefon za kontakt: 031725004</v>
      </c>
      <c r="B152" s="291"/>
      <c r="E152" s="291"/>
      <c r="F152" s="291"/>
      <c r="G152" s="307"/>
    </row>
    <row r="153" spans="1:7" s="292" customFormat="1" ht="15" customHeight="1" x14ac:dyDescent="0.2">
      <c r="A153" s="291" t="str">
        <f>IF(RefStr!H33="","Odgovorna osoba: _____________________________","Odgovorna osoba: " &amp; RefStr!H33)</f>
        <v>Odgovorna osoba: ĐURĐICA PETROVIĆ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5" t="s">
        <v>2788</v>
      </c>
      <c r="B1" s="416"/>
      <c r="C1" s="456" t="s">
        <v>2051</v>
      </c>
      <c r="D1" s="456"/>
      <c r="E1" s="456"/>
    </row>
    <row r="2" spans="1:6" s="283" customFormat="1" ht="48" customHeight="1" thickBot="1" x14ac:dyDescent="0.25">
      <c r="A2" s="453" t="s">
        <v>4037</v>
      </c>
      <c r="B2" s="454"/>
      <c r="C2" s="422"/>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21300</v>
      </c>
      <c r="C4" s="450"/>
      <c r="D4" s="430">
        <f>SUM(Skriveni!G1424:G1467)</f>
        <v>0</v>
      </c>
      <c r="E4" s="431"/>
    </row>
    <row r="5" spans="1:6" ht="15" customHeight="1" x14ac:dyDescent="0.2">
      <c r="B5" s="428" t="str">
        <f>"Naziv: "&amp;IF(RefStr!B10&lt;&gt;"",RefStr!B10,"_______________________________________")</f>
        <v>Naziv: OŠ ŠEĆERANA-ŠEĆERANA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3" t="s">
        <v>1067</v>
      </c>
      <c r="E58" s="423"/>
      <c r="F58" s="291"/>
      <c r="G58" s="307"/>
    </row>
    <row r="59" spans="1:7" s="292" customFormat="1" ht="15" customHeight="1" x14ac:dyDescent="0.2">
      <c r="A59" s="291" t="str">
        <f>IF(RefStr!H25&lt;&gt;"", "Osoba za kontaktiranje: " &amp; RefStr!H25,"Osoba za kontaktiranje: _________________________________________")</f>
        <v>Osoba za kontaktiranje: MARIJA HAFNER</v>
      </c>
      <c r="B59" s="291"/>
      <c r="D59" s="293"/>
      <c r="E59" s="293"/>
      <c r="F59" s="291"/>
      <c r="G59" s="307"/>
    </row>
    <row r="60" spans="1:7" s="292" customFormat="1" ht="15" customHeight="1" x14ac:dyDescent="0.2">
      <c r="A60" s="291" t="str">
        <f>IF(RefStr!H27="","Telefon za kontakt: _________________","Telefon za kontakt: " &amp; RefStr!H27)</f>
        <v>Telefon za kontakt: 031725004</v>
      </c>
      <c r="B60" s="291"/>
      <c r="F60" s="291"/>
      <c r="G60" s="307"/>
    </row>
    <row r="61" spans="1:7" s="292" customFormat="1" ht="15" customHeight="1" x14ac:dyDescent="0.2">
      <c r="A61" s="291" t="str">
        <f>IF(RefStr!H33="","Odgovorna osoba: _____________________________","Odgovorna osoba: " &amp; RefStr!H33)</f>
        <v>Odgovorna osoba: ĐURĐICA PETROVIĆ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9" activePane="bottomLeft" state="frozen"/>
      <selection pane="bottomLeft" activeCell="D89" sqref="D8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21300</v>
      </c>
      <c r="C4" s="430">
        <f>SUM(Skriveni!G1468:G1561)</f>
        <v>3615.5479999999998</v>
      </c>
      <c r="D4" s="431"/>
    </row>
    <row r="5" spans="1:5" s="23" customFormat="1" ht="15" customHeight="1" x14ac:dyDescent="0.2">
      <c r="B5" s="98" t="str">
        <f>"Naziv: "&amp;IF(RefStr!B10&lt;&gt;"",RefStr!B10,"_______________________________________")</f>
        <v>Naziv: OŠ ŠEĆERANA-ŠEĆERANA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row>
    <row r="13" spans="1:5" s="2" customFormat="1" x14ac:dyDescent="0.2">
      <c r="A13" s="270"/>
      <c r="B13" s="271" t="s">
        <v>2062</v>
      </c>
      <c r="C13" s="264">
        <v>2</v>
      </c>
      <c r="D13" s="140">
        <f>D14+D15+D23+D24</f>
        <v>47573</v>
      </c>
    </row>
    <row r="14" spans="1:5" s="2" customFormat="1" x14ac:dyDescent="0.2">
      <c r="A14" s="270"/>
      <c r="B14" s="271" t="s">
        <v>4041</v>
      </c>
      <c r="C14" s="264">
        <v>3</v>
      </c>
      <c r="D14" s="141"/>
    </row>
    <row r="15" spans="1:5" s="2" customFormat="1" x14ac:dyDescent="0.2">
      <c r="A15" s="270" t="s">
        <v>1181</v>
      </c>
      <c r="B15" s="271" t="s">
        <v>3078</v>
      </c>
      <c r="C15" s="264">
        <v>4</v>
      </c>
      <c r="D15" s="140">
        <f>SUM(D16:D22)</f>
        <v>47573</v>
      </c>
    </row>
    <row r="16" spans="1:5" s="2" customFormat="1" x14ac:dyDescent="0.2">
      <c r="A16" s="272" t="s">
        <v>1182</v>
      </c>
      <c r="B16" s="273" t="s">
        <v>1183</v>
      </c>
      <c r="C16" s="264">
        <v>5</v>
      </c>
      <c r="D16" s="141"/>
    </row>
    <row r="17" spans="1:4" s="2" customFormat="1" x14ac:dyDescent="0.2">
      <c r="A17" s="272" t="s">
        <v>1184</v>
      </c>
      <c r="B17" s="273" t="s">
        <v>1185</v>
      </c>
      <c r="C17" s="264">
        <v>6</v>
      </c>
      <c r="D17" s="141">
        <v>47573</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47573</v>
      </c>
    </row>
    <row r="31" spans="1:4" s="2" customFormat="1" x14ac:dyDescent="0.2">
      <c r="A31" s="272"/>
      <c r="B31" s="271" t="s">
        <v>4041</v>
      </c>
      <c r="C31" s="264">
        <v>20</v>
      </c>
      <c r="D31" s="141"/>
    </row>
    <row r="32" spans="1:4" s="2" customFormat="1" x14ac:dyDescent="0.2">
      <c r="A32" s="270" t="s">
        <v>1181</v>
      </c>
      <c r="B32" s="271" t="s">
        <v>3081</v>
      </c>
      <c r="C32" s="264">
        <v>21</v>
      </c>
      <c r="D32" s="140">
        <f>SUM(D33:D39)</f>
        <v>47573</v>
      </c>
    </row>
    <row r="33" spans="1:4" s="2" customFormat="1" x14ac:dyDescent="0.2">
      <c r="A33" s="272" t="s">
        <v>1182</v>
      </c>
      <c r="B33" s="273" t="s">
        <v>1183</v>
      </c>
      <c r="C33" s="264">
        <v>22</v>
      </c>
      <c r="D33" s="141"/>
    </row>
    <row r="34" spans="1:4" s="2" customFormat="1" x14ac:dyDescent="0.2">
      <c r="A34" s="272" t="s">
        <v>1184</v>
      </c>
      <c r="B34" s="273" t="s">
        <v>1185</v>
      </c>
      <c r="C34" s="264">
        <v>23</v>
      </c>
      <c r="D34" s="141"/>
    </row>
    <row r="35" spans="1:4" s="2" customFormat="1" x14ac:dyDescent="0.2">
      <c r="A35" s="272" t="s">
        <v>1186</v>
      </c>
      <c r="B35" s="273" t="s">
        <v>1187</v>
      </c>
      <c r="C35" s="264">
        <v>24</v>
      </c>
      <c r="D35" s="141">
        <v>47573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0</v>
      </c>
    </row>
    <row r="102" spans="1:5" s="2" customFormat="1" x14ac:dyDescent="0.2">
      <c r="A102" s="272"/>
      <c r="B102" s="280" t="s">
        <v>4041</v>
      </c>
      <c r="C102" s="264">
        <v>91</v>
      </c>
      <c r="D102" s="141"/>
    </row>
    <row r="103" spans="1:5" s="2" customFormat="1" x14ac:dyDescent="0.2">
      <c r="A103" s="272" t="s">
        <v>1181</v>
      </c>
      <c r="B103" s="280" t="s">
        <v>1365</v>
      </c>
      <c r="C103" s="264">
        <v>92</v>
      </c>
      <c r="D103" s="141"/>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3" t="s">
        <v>1067</v>
      </c>
      <c r="D108" s="423"/>
      <c r="E108" s="291"/>
    </row>
    <row r="109" spans="1:5" s="292" customFormat="1" ht="15" customHeight="1" x14ac:dyDescent="0.2">
      <c r="A109" s="291" t="str">
        <f>IF(RefStr!H25&lt;&gt;"", "Osoba za kontaktiranje: " &amp; RefStr!H25,"Osoba za kontaktiranje: _________________________________________")</f>
        <v>Osoba za kontaktiranje: MARIJA HAFNER</v>
      </c>
      <c r="B109" s="291"/>
      <c r="C109" s="293"/>
      <c r="D109" s="293"/>
      <c r="E109" s="291"/>
    </row>
    <row r="110" spans="1:5" s="292" customFormat="1" ht="15" customHeight="1" x14ac:dyDescent="0.2">
      <c r="A110" s="291" t="str">
        <f>IF(RefStr!H27="","Telefon za kontakt: _________________","Telefon za kontakt: " &amp; RefStr!H27)</f>
        <v>Telefon za kontakt: 031725004</v>
      </c>
      <c r="B110" s="291"/>
      <c r="E110" s="291"/>
    </row>
    <row r="111" spans="1:5" s="292" customFormat="1" ht="15" customHeight="1" x14ac:dyDescent="0.2">
      <c r="A111" s="291" t="str">
        <f>IF(RefStr!H33="","Odgovorna osoba: _____________________________","Odgovorna osoba: " &amp; RefStr!H33)</f>
        <v>Odgovorna osoba: ĐURĐICA PETROVIĆ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21300</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 Hafner</cp:lastModifiedBy>
  <cp:lastPrinted>2019-01-29T10:26:58Z</cp:lastPrinted>
  <dcterms:created xsi:type="dcterms:W3CDTF">2001-11-21T09:32:18Z</dcterms:created>
  <dcterms:modified xsi:type="dcterms:W3CDTF">2019-01-29T10:28:41Z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